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 activeTab="1"/>
  </bookViews>
  <sheets>
    <sheet name="07.06.19" sheetId="2" r:id="rId1"/>
    <sheet name="07.06.19 DD" sheetId="1" r:id="rId2"/>
  </sheets>
  <calcPr calcId="124519"/>
</workbook>
</file>

<file path=xl/calcChain.xml><?xml version="1.0" encoding="utf-8"?>
<calcChain xmlns="http://schemas.openxmlformats.org/spreadsheetml/2006/main">
  <c r="J45" i="1"/>
  <c r="F9" i="2" l="1"/>
  <c r="F10"/>
  <c r="J60" i="1"/>
  <c r="J62" s="1"/>
  <c r="J61"/>
  <c r="J57"/>
  <c r="J59"/>
  <c r="J46"/>
  <c r="J47"/>
  <c r="F50" i="2"/>
  <c r="L62" i="1"/>
  <c r="H62" l="1"/>
  <c r="I62"/>
  <c r="K62"/>
  <c r="E62"/>
  <c r="F61"/>
  <c r="F60"/>
  <c r="G60" s="1"/>
  <c r="G61" l="1"/>
  <c r="F53" l="1"/>
  <c r="F52"/>
  <c r="F51"/>
  <c r="F50"/>
  <c r="F43"/>
  <c r="F42"/>
  <c r="F39"/>
  <c r="F38"/>
  <c r="F36"/>
  <c r="F30"/>
  <c r="I31" i="2"/>
  <c r="F59" i="1" l="1"/>
  <c r="G59" s="1"/>
  <c r="G58"/>
  <c r="F58"/>
  <c r="F57"/>
  <c r="G57" s="1"/>
  <c r="F56"/>
  <c r="G56" s="1"/>
  <c r="G54"/>
  <c r="G55"/>
  <c r="G53" l="1"/>
  <c r="G52" l="1"/>
  <c r="F19" i="2"/>
  <c r="F12"/>
  <c r="F11"/>
  <c r="I9" l="1"/>
  <c r="I10"/>
  <c r="I11"/>
  <c r="K11" s="1"/>
  <c r="I12"/>
  <c r="K12" s="1"/>
  <c r="G14"/>
  <c r="I14" s="1"/>
  <c r="K14" s="1"/>
  <c r="I15"/>
  <c r="J15" s="1"/>
  <c r="I16"/>
  <c r="J16" s="1"/>
  <c r="I17"/>
  <c r="K17" s="1"/>
  <c r="I18"/>
  <c r="K18" s="1"/>
  <c r="I19"/>
  <c r="J19" s="1"/>
  <c r="I20"/>
  <c r="J20" s="1"/>
  <c r="I21"/>
  <c r="J21" s="1"/>
  <c r="I22"/>
  <c r="K22" s="1"/>
  <c r="I23"/>
  <c r="K23" s="1"/>
  <c r="I24"/>
  <c r="J24" s="1"/>
  <c r="I25"/>
  <c r="J25" s="1"/>
  <c r="I26"/>
  <c r="K26" s="1"/>
  <c r="I27"/>
  <c r="K27" s="1"/>
  <c r="I28"/>
  <c r="J28" s="1"/>
  <c r="I29"/>
  <c r="J29" s="1"/>
  <c r="J30"/>
  <c r="K30"/>
  <c r="J31"/>
  <c r="I32"/>
  <c r="J32" s="1"/>
  <c r="F40"/>
  <c r="I40"/>
  <c r="I41"/>
  <c r="I42"/>
  <c r="I43"/>
  <c r="F44"/>
  <c r="I44"/>
  <c r="I45"/>
  <c r="I46"/>
  <c r="I47"/>
  <c r="F49"/>
  <c r="I49"/>
  <c r="I50"/>
  <c r="F51"/>
  <c r="I51"/>
  <c r="F52"/>
  <c r="G52"/>
  <c r="I52" s="1"/>
  <c r="F53"/>
  <c r="I53"/>
  <c r="I54"/>
  <c r="I55"/>
  <c r="M58"/>
  <c r="M61"/>
  <c r="G49" i="1"/>
  <c r="F49"/>
  <c r="F48"/>
  <c r="G48" s="1"/>
  <c r="F47"/>
  <c r="G47" s="1"/>
  <c r="F46"/>
  <c r="G46" s="1"/>
  <c r="F45"/>
  <c r="G45" s="1"/>
  <c r="F44"/>
  <c r="G43"/>
  <c r="G42"/>
  <c r="F41"/>
  <c r="G41" s="1"/>
  <c r="F40"/>
  <c r="G40" s="1"/>
  <c r="G39"/>
  <c r="G38"/>
  <c r="F37"/>
  <c r="G37" s="1"/>
  <c r="G36"/>
  <c r="G35"/>
  <c r="F34"/>
  <c r="G34" s="1"/>
  <c r="G33"/>
  <c r="G32"/>
  <c r="F32"/>
  <c r="F31"/>
  <c r="G31" s="1"/>
  <c r="G30"/>
  <c r="G29"/>
  <c r="G28"/>
  <c r="G27"/>
  <c r="F27"/>
  <c r="G26"/>
  <c r="F25"/>
  <c r="G25" s="1"/>
  <c r="G24"/>
  <c r="F23"/>
  <c r="G23" s="1"/>
  <c r="F22"/>
  <c r="G22" s="1"/>
  <c r="F21"/>
  <c r="G21" s="1"/>
  <c r="G20"/>
  <c r="F20"/>
  <c r="F19"/>
  <c r="G19" s="1"/>
  <c r="F18"/>
  <c r="G18" s="1"/>
  <c r="F17"/>
  <c r="G17" s="1"/>
  <c r="F16"/>
  <c r="G16" s="1"/>
  <c r="E15"/>
  <c r="F14"/>
  <c r="G14" s="1"/>
  <c r="F13"/>
  <c r="G13" s="1"/>
  <c r="F12"/>
  <c r="G12" s="1"/>
  <c r="F11"/>
  <c r="G11" s="1"/>
  <c r="F10"/>
  <c r="G10" s="1"/>
  <c r="F9"/>
  <c r="G9" s="1"/>
  <c r="F8"/>
  <c r="G8" s="1"/>
  <c r="G44" l="1"/>
  <c r="F62"/>
  <c r="G51"/>
  <c r="K28" i="2"/>
  <c r="G50" i="1"/>
  <c r="K31" i="2"/>
  <c r="J27"/>
  <c r="K24"/>
  <c r="J23"/>
  <c r="K20"/>
  <c r="K15"/>
  <c r="J12"/>
  <c r="K19"/>
  <c r="J9"/>
  <c r="K9"/>
  <c r="J10"/>
  <c r="K10"/>
  <c r="J14"/>
  <c r="J17"/>
  <c r="J11"/>
  <c r="K32"/>
  <c r="K29"/>
  <c r="K25"/>
  <c r="K21"/>
  <c r="K16"/>
  <c r="J26"/>
  <c r="J22"/>
  <c r="J18"/>
  <c r="G15" i="1"/>
  <c r="G62" l="1"/>
</calcChain>
</file>

<file path=xl/sharedStrings.xml><?xml version="1.0" encoding="utf-8"?>
<sst xmlns="http://schemas.openxmlformats.org/spreadsheetml/2006/main" count="319" uniqueCount="198">
  <si>
    <t>Drawing Detail</t>
  </si>
  <si>
    <t>JOB</t>
  </si>
  <si>
    <t>Plant Civil Including Under Ground Civil Works.</t>
  </si>
  <si>
    <t>Contractor</t>
  </si>
  <si>
    <t>M/s N J Devani Builders Pvt.Ltd.</t>
  </si>
  <si>
    <t>Status as of</t>
  </si>
  <si>
    <t>WO No.</t>
  </si>
  <si>
    <t>3SC/31311787</t>
  </si>
  <si>
    <t>Project Name</t>
  </si>
  <si>
    <t>HIIR - ETP Project</t>
  </si>
  <si>
    <t>Dwg.No.</t>
  </si>
  <si>
    <t>Title</t>
  </si>
  <si>
    <t>Category</t>
  </si>
  <si>
    <t>Scope  As per Drawing</t>
  </si>
  <si>
    <t>Final Scope As per site</t>
  </si>
  <si>
    <t>Complet</t>
  </si>
  <si>
    <t>Balance</t>
  </si>
  <si>
    <t>Monthly Plan</t>
  </si>
  <si>
    <t>Monthly Achieve</t>
  </si>
  <si>
    <t>Today</t>
  </si>
  <si>
    <t>Remarks</t>
  </si>
  <si>
    <t>-</t>
  </si>
  <si>
    <t>A</t>
  </si>
  <si>
    <t>B</t>
  </si>
  <si>
    <t>C = C+H</t>
  </si>
  <si>
    <t>D = B-C</t>
  </si>
  <si>
    <t>E</t>
  </si>
  <si>
    <t>F</t>
  </si>
  <si>
    <t>G</t>
  </si>
  <si>
    <t>H</t>
  </si>
  <si>
    <t>I</t>
  </si>
  <si>
    <t>10111-4D8JTH-MS0042-TIN-D-00-TYT761-B05-0004 (R2)</t>
  </si>
  <si>
    <t>Equalization Tank</t>
  </si>
  <si>
    <t>PCC Sub-Structure</t>
  </si>
  <si>
    <t>Completed as on dated 30/03/2019</t>
  </si>
  <si>
    <t>PCC Super-Structure</t>
  </si>
  <si>
    <t>RCC Sub-Structure</t>
  </si>
  <si>
    <t>RCC Super-Structure</t>
  </si>
  <si>
    <t>10111-4D8JTH-MS0042-TIN-D-00-TYT761-B05-0005 (R1)</t>
  </si>
  <si>
    <t>Aeration Tank</t>
  </si>
  <si>
    <t>Completed as on dated 19/03/2019</t>
  </si>
  <si>
    <t>10111-4D8JTH-MS0042-TIN-D-00-TYT761-B05-0006 (R0)</t>
  </si>
  <si>
    <t>Secondery clarifier</t>
  </si>
  <si>
    <t>Completed as on dated 05/01/2019</t>
  </si>
  <si>
    <t>10111-4D8JTH-MS0042-TIN-D-00-TYT761-B05-0008 (R1)</t>
  </si>
  <si>
    <t>Sludge Tank</t>
  </si>
  <si>
    <t>Completed as on dated 12/10/2018</t>
  </si>
  <si>
    <t>10111-4D8JTH-MS0042-TIN-D-00-TYT761-B05-0013 (R1)</t>
  </si>
  <si>
    <t>Drain pit</t>
  </si>
  <si>
    <t>Completed as on dated 17/01/2018</t>
  </si>
  <si>
    <t>10111-4D8JTH-MS0042-TIN-D-00-TYT761-B05-0010 (R1)</t>
  </si>
  <si>
    <t>Chlorine Contect Tank</t>
  </si>
  <si>
    <t>Completed as on dated 24/12/2018</t>
  </si>
  <si>
    <t>Flocculation,DAF &amp; Flash mixer</t>
  </si>
  <si>
    <t>10111-4D8JTH-MS0042-TIN-D-00-TYT761-B02-0009 (R2)</t>
  </si>
  <si>
    <t>Filtered effluent tank</t>
  </si>
  <si>
    <t>Completed as on dated 12/02/2019</t>
  </si>
  <si>
    <t>10111-4D8JTH-MS0042-TIN-D-00-TYT761-B05-0012 (R1)</t>
  </si>
  <si>
    <t>Centrifuge Building</t>
  </si>
  <si>
    <t>10111-4D8JTH-MS0042-TIN-D-00-TYT761-B05-0011 (R1)</t>
  </si>
  <si>
    <t>Chemical House</t>
  </si>
  <si>
    <t>10111-4D8JTH-MS0042-TIN-D-00-TYT761-B05-0014 (R1)</t>
  </si>
  <si>
    <t xml:space="preserve">static equipment foundation </t>
  </si>
  <si>
    <t>Completed as on dated 15/03/2019</t>
  </si>
  <si>
    <t>10111-4D8JTH-MS0042-TIN-D-00-TYT761-B05-0015 (R1)</t>
  </si>
  <si>
    <t xml:space="preserve">Rotary Equipment foundation  </t>
  </si>
  <si>
    <t>Pipe Rack - 03</t>
  </si>
  <si>
    <t>Pipe Rack - 02</t>
  </si>
  <si>
    <t>Pipe Rack - 04</t>
  </si>
  <si>
    <t>Pipe Rack - 06</t>
  </si>
  <si>
    <t>Total</t>
  </si>
  <si>
    <t>Building Work Activity</t>
  </si>
  <si>
    <t>Highlights/ Constraints</t>
  </si>
  <si>
    <t>Available</t>
  </si>
  <si>
    <t>Earth Compactor</t>
  </si>
  <si>
    <t>Stand Drill Machine</t>
  </si>
  <si>
    <t>Vibrator</t>
  </si>
  <si>
    <t>Mixer Machine</t>
  </si>
  <si>
    <t>Dewatering  Pump</t>
  </si>
  <si>
    <t>Tipper/ Tractor</t>
  </si>
  <si>
    <t>Water Tank</t>
  </si>
  <si>
    <t>Excavator</t>
  </si>
  <si>
    <t>Total Station</t>
  </si>
  <si>
    <t>Auto Level</t>
  </si>
  <si>
    <t>Bar Bending M/c</t>
  </si>
  <si>
    <t>Bar Cutting M/c</t>
  </si>
  <si>
    <t xml:space="preserve">P&amp; M </t>
  </si>
  <si>
    <t>D</t>
  </si>
  <si>
    <t>Present at site</t>
  </si>
  <si>
    <t>Scaffolding Inspector</t>
  </si>
  <si>
    <t>Electrician</t>
  </si>
  <si>
    <t>Material/ Store Keeper</t>
  </si>
  <si>
    <t>HSE Person</t>
  </si>
  <si>
    <t>Supervisor</t>
  </si>
  <si>
    <t>Surveyour</t>
  </si>
  <si>
    <t>Site Engineer</t>
  </si>
  <si>
    <t>Quality in charge</t>
  </si>
  <si>
    <t>Planning/ Billing Engg.</t>
  </si>
  <si>
    <t>Site in charge</t>
  </si>
  <si>
    <t>Site Staff</t>
  </si>
  <si>
    <r>
      <t>c</t>
    </r>
    <r>
      <rPr>
        <sz val="11"/>
        <color rgb="FFFF0000"/>
        <rFont val="Book Antiqua"/>
        <family val="1"/>
      </rPr>
      <t>1</t>
    </r>
  </si>
  <si>
    <t>Plumber</t>
  </si>
  <si>
    <t>Unskilled</t>
  </si>
  <si>
    <t>Scaffolder</t>
  </si>
  <si>
    <t>Gas Cutter</t>
  </si>
  <si>
    <t>Welder</t>
  </si>
  <si>
    <t>Mason</t>
  </si>
  <si>
    <t>Helper</t>
  </si>
  <si>
    <t>Fitter</t>
  </si>
  <si>
    <t>Carpenter</t>
  </si>
  <si>
    <t>Manpower status</t>
  </si>
  <si>
    <t>c</t>
  </si>
  <si>
    <t>MT.</t>
  </si>
  <si>
    <t>32mm</t>
  </si>
  <si>
    <t>From Niyati Engineering pvt. ltd to NJD @t  04-9-18  ( total = 10 Rod)</t>
  </si>
  <si>
    <t>25mm</t>
  </si>
  <si>
    <t>20mm</t>
  </si>
  <si>
    <t>12.150 MT steel Issued From NJD to Niyti Engineering  On dated 09/08/2018</t>
  </si>
  <si>
    <t>16mm</t>
  </si>
  <si>
    <t>12mm</t>
  </si>
  <si>
    <t>10mm</t>
  </si>
  <si>
    <t>8mm</t>
  </si>
  <si>
    <t>Reinforcement -</t>
  </si>
  <si>
    <t>Rubble</t>
  </si>
  <si>
    <t>Nos.</t>
  </si>
  <si>
    <t>Brick/Blocks</t>
  </si>
  <si>
    <t>River sand</t>
  </si>
  <si>
    <t>Filling sand</t>
  </si>
  <si>
    <t xml:space="preserve">Sand </t>
  </si>
  <si>
    <t xml:space="preserve">                   -20mm</t>
  </si>
  <si>
    <t>Aggregate -10mm</t>
  </si>
  <si>
    <t>Cement</t>
  </si>
  <si>
    <t>Upto Previous</t>
  </si>
  <si>
    <t>Consumed</t>
  </si>
  <si>
    <t>Received</t>
  </si>
  <si>
    <t>Min Qty.</t>
  </si>
  <si>
    <t>UOM</t>
  </si>
  <si>
    <t>Material Status</t>
  </si>
  <si>
    <t>Rmt.</t>
  </si>
  <si>
    <t>PVC/UPVC Pipe Upot 250mm</t>
  </si>
  <si>
    <t>Sqmt.</t>
  </si>
  <si>
    <t>Shalitex Board 25mm thk.</t>
  </si>
  <si>
    <t>Anti Carbonation Paint</t>
  </si>
  <si>
    <t>Acrylic Emulsion Paint</t>
  </si>
  <si>
    <t>Screed Concrete 95mm thk.</t>
  </si>
  <si>
    <t>Paver Block 40mm thk.</t>
  </si>
  <si>
    <t>Concrete Paving</t>
  </si>
  <si>
    <t>Surface Dressing</t>
  </si>
  <si>
    <t>20mm thk. Sand Faced Plaster</t>
  </si>
  <si>
    <t>12mm thk. Smooth Faced Plaster</t>
  </si>
  <si>
    <t>Cum.</t>
  </si>
  <si>
    <t>AAC Block Masonry</t>
  </si>
  <si>
    <t>Faremate Hydrofillik Bar</t>
  </si>
  <si>
    <t>Grouting</t>
  </si>
  <si>
    <t>Fixing Of Anchor Blot</t>
  </si>
  <si>
    <t>Fixing Of Insert Plate</t>
  </si>
  <si>
    <t>PCC - Below Grade Slab</t>
  </si>
  <si>
    <t>Soil Filling</t>
  </si>
  <si>
    <t>Sand filling</t>
  </si>
  <si>
    <t>Backfilling</t>
  </si>
  <si>
    <t>PCC - Below Raft &amp; Footings &amp; Staircase footing</t>
  </si>
  <si>
    <t>Hard Rock</t>
  </si>
  <si>
    <t>(b)</t>
  </si>
  <si>
    <t>Soft Rock</t>
  </si>
  <si>
    <t>(a)</t>
  </si>
  <si>
    <t xml:space="preserve">Excavation </t>
  </si>
  <si>
    <t>% Completed</t>
  </si>
  <si>
    <t>Completed</t>
  </si>
  <si>
    <t>Scope</t>
  </si>
  <si>
    <t>Activity Description</t>
  </si>
  <si>
    <t>Sl. No.</t>
  </si>
  <si>
    <t>Housekeeping work ,material shifting &amp; cleaning work around  ETP site</t>
  </si>
  <si>
    <t xml:space="preserve">Completed  as on date        14/4/2019           </t>
  </si>
  <si>
    <t>Completed as on dated 16/04/2019</t>
  </si>
  <si>
    <t>Work Progress. (Scope only Equalization, Aeration Tank, Sludge tank, Drain pit, Secondary Clarifier, Chlorine Contact tank, DAF, Filtered effluent tank, Centrifuge Building, Chemical House, Pump foundation , Static Equipment, All Pipe rack and Battery limit column )</t>
  </si>
  <si>
    <r>
      <t>10111-4D8JTH-MS0042-TIN-D-00-TYT761-</t>
    </r>
    <r>
      <rPr>
        <b/>
        <sz val="11"/>
        <color theme="1"/>
        <rFont val="Calibri"/>
        <family val="2"/>
        <scheme val="minor"/>
      </rPr>
      <t>B05</t>
    </r>
    <r>
      <rPr>
        <sz val="11"/>
        <color theme="1"/>
        <rFont val="Calibri"/>
        <family val="2"/>
        <scheme val="minor"/>
      </rPr>
      <t>-0039</t>
    </r>
  </si>
  <si>
    <t>Battery room to PLC room</t>
  </si>
  <si>
    <r>
      <t>10111-4D8JTH-MS0042-TIN-D-00-TYT761-</t>
    </r>
    <r>
      <rPr>
        <b/>
        <sz val="11"/>
        <color theme="1"/>
        <rFont val="Calibri"/>
        <family val="2"/>
        <scheme val="minor"/>
      </rPr>
      <t>B05</t>
    </r>
    <r>
      <rPr>
        <sz val="11"/>
        <color theme="1"/>
        <rFont val="Calibri"/>
        <family val="2"/>
        <scheme val="minor"/>
      </rPr>
      <t>-0038</t>
    </r>
  </si>
  <si>
    <t>Cable Tray Support Blower Bay (Aeration East Side)</t>
  </si>
  <si>
    <t>completed as on dated 16-04-2019</t>
  </si>
  <si>
    <t>Pipe Rack - 01</t>
  </si>
  <si>
    <t>Pipe Rack - 05</t>
  </si>
  <si>
    <t>10111-4D8JTH-MS0042-TIN-D-00-TYT761-B05-0031</t>
  </si>
  <si>
    <t xml:space="preserve">10111-4D8JTH-MS0042-TIN-D-00-TYT761-B05-0035
</t>
  </si>
  <si>
    <t>10111-4D8JTH-MS0042-TIN-D-00-TYT761-B05-0016 (R0)</t>
  </si>
  <si>
    <t xml:space="preserve">10111-4D8JTH-MS0042-TIN-D-00-TYT761-B05-0032 (R1)
</t>
  </si>
  <si>
    <t>10111-4D8JTH-MS0042-TIN-D-00-TYT761-B05-0034 (R0)</t>
  </si>
  <si>
    <t xml:space="preserve">10111-4D8JTH-MS0042-TIN-D-00-TYT761-B05-0036 (R1)
</t>
  </si>
  <si>
    <t>10111-4D8JTH-MS0042-TIN-D-00-TYT761-B05-0025 (R1)</t>
  </si>
  <si>
    <t>Drain Trenches,Pathway &amp; Access way</t>
  </si>
  <si>
    <t>Complete as on dated 06/05/2019</t>
  </si>
  <si>
    <t xml:space="preserve">Daily Progress Report </t>
  </si>
  <si>
    <t>Nipple grouting for FET tank and Flash Mixer Tank</t>
  </si>
  <si>
    <t>1</t>
  </si>
  <si>
    <t>Weekly Plan  2ndweek</t>
  </si>
  <si>
    <t>Weekly Achieve        2nd  week</t>
  </si>
  <si>
    <t>07.06.2019</t>
  </si>
  <si>
    <t>Excavation work in progress pipe rack 03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</si>
</sst>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20"/>
      <color indexed="8"/>
      <name val="Book Antiqua"/>
      <family val="1"/>
    </font>
    <font>
      <b/>
      <sz val="14"/>
      <name val="Book Antiqua"/>
      <family val="1"/>
    </font>
    <font>
      <b/>
      <sz val="13"/>
      <name val="Book Antiqua"/>
      <family val="1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Book Antiqua"/>
      <family val="1"/>
    </font>
    <font>
      <b/>
      <sz val="16"/>
      <color rgb="FFFF0000"/>
      <name val="Book Antiqua"/>
      <family val="1"/>
    </font>
    <font>
      <sz val="20"/>
      <color rgb="FFFF0000"/>
      <name val="Book Antiqua"/>
      <family val="1"/>
    </font>
    <font>
      <b/>
      <sz val="14"/>
      <color rgb="FFFF0000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2"/>
      <color rgb="FF002060"/>
      <name val="Book Antiqua"/>
      <family val="1"/>
    </font>
    <font>
      <b/>
      <sz val="12"/>
      <color rgb="FFFF0000"/>
      <name val="Book Antiqua"/>
      <family val="1"/>
    </font>
    <font>
      <sz val="22"/>
      <color rgb="FFFF0000"/>
      <name val="Book Antiqua"/>
      <family val="1"/>
    </font>
    <font>
      <sz val="11"/>
      <color rgb="FFFF0000"/>
      <name val="Book Antiqua"/>
      <family val="1"/>
    </font>
    <font>
      <sz val="12"/>
      <color theme="1"/>
      <name val="Book Antiqua"/>
      <family val="1"/>
    </font>
    <font>
      <sz val="10"/>
      <name val="Book Antiqua"/>
      <family val="1"/>
    </font>
    <font>
      <b/>
      <sz val="11"/>
      <color rgb="FFFF0000"/>
      <name val="Book Antiqua"/>
      <family val="1"/>
    </font>
    <font>
      <b/>
      <sz val="11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216">
    <xf numFmtId="0" fontId="0" fillId="0" borderId="0" xfId="0"/>
    <xf numFmtId="0" fontId="0" fillId="0" borderId="0" xfId="0" applyFill="1" applyBorder="1"/>
    <xf numFmtId="0" fontId="0" fillId="0" borderId="0" xfId="0" applyBorder="1"/>
    <xf numFmtId="0" fontId="5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/>
    </xf>
    <xf numFmtId="17" fontId="7" fillId="0" borderId="1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2" fontId="0" fillId="2" borderId="1" xfId="0" applyNumberForma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2" fontId="0" fillId="2" borderId="1" xfId="0" applyNumberFormat="1" applyFill="1" applyBorder="1" applyAlignment="1">
      <alignment vertical="center"/>
    </xf>
    <xf numFmtId="2" fontId="9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2" fontId="0" fillId="0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2" fontId="0" fillId="0" borderId="1" xfId="0" applyNumberFormat="1" applyFill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2" fontId="2" fillId="3" borderId="1" xfId="0" applyNumberFormat="1" applyFont="1" applyFill="1" applyBorder="1" applyAlignment="1">
      <alignment horizontal="center" vertical="center"/>
    </xf>
    <xf numFmtId="2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0" fillId="0" borderId="10" xfId="1" applyFont="1" applyFill="1" applyBorder="1" applyAlignment="1">
      <alignment horizontal="center" vertical="center"/>
    </xf>
    <xf numFmtId="0" fontId="10" fillId="0" borderId="14" xfId="1" applyFont="1" applyFill="1" applyBorder="1" applyAlignment="1">
      <alignment horizontal="center" vertical="center"/>
    </xf>
    <xf numFmtId="0" fontId="11" fillId="0" borderId="18" xfId="1" applyFont="1" applyBorder="1" applyAlignment="1">
      <alignment horizontal="center" vertical="center" wrapText="1"/>
    </xf>
    <xf numFmtId="0" fontId="10" fillId="0" borderId="22" xfId="1" applyFont="1" applyFill="1" applyBorder="1" applyAlignment="1">
      <alignment horizontal="center" vertical="center"/>
    </xf>
    <xf numFmtId="0" fontId="12" fillId="0" borderId="18" xfId="1" applyFont="1" applyFill="1" applyBorder="1" applyAlignment="1">
      <alignment horizontal="center" vertical="center"/>
    </xf>
    <xf numFmtId="0" fontId="10" fillId="0" borderId="25" xfId="1" applyFont="1" applyFill="1" applyBorder="1" applyAlignment="1">
      <alignment horizontal="center" vertical="center"/>
    </xf>
    <xf numFmtId="49" fontId="14" fillId="0" borderId="26" xfId="1" applyNumberFormat="1" applyFont="1" applyFill="1" applyBorder="1" applyAlignment="1">
      <alignment horizontal="center" vertical="center" wrapText="1"/>
    </xf>
    <xf numFmtId="0" fontId="14" fillId="0" borderId="27" xfId="1" applyFont="1" applyFill="1" applyBorder="1" applyAlignment="1">
      <alignment horizontal="center" vertical="center" wrapText="1"/>
    </xf>
    <xf numFmtId="0" fontId="14" fillId="0" borderId="28" xfId="1" applyFont="1" applyFill="1" applyBorder="1" applyAlignment="1">
      <alignment horizontal="center" vertical="center" wrapText="1"/>
    </xf>
    <xf numFmtId="15" fontId="15" fillId="0" borderId="22" xfId="1" applyNumberFormat="1" applyFont="1" applyFill="1" applyBorder="1" applyAlignment="1">
      <alignment horizontal="center" vertical="center" wrapText="1"/>
    </xf>
    <xf numFmtId="10" fontId="15" fillId="0" borderId="23" xfId="1" applyNumberFormat="1" applyFont="1" applyFill="1" applyBorder="1" applyAlignment="1">
      <alignment horizontal="center" vertical="center" wrapText="1"/>
    </xf>
    <xf numFmtId="0" fontId="15" fillId="0" borderId="29" xfId="1" applyFont="1" applyFill="1" applyBorder="1" applyAlignment="1">
      <alignment horizontal="center" vertical="center" wrapText="1"/>
    </xf>
    <xf numFmtId="0" fontId="15" fillId="0" borderId="24" xfId="1" applyFont="1" applyFill="1" applyBorder="1" applyAlignment="1">
      <alignment horizontal="center" vertical="center" wrapText="1"/>
    </xf>
    <xf numFmtId="0" fontId="16" fillId="0" borderId="14" xfId="1" applyFont="1" applyFill="1" applyBorder="1" applyAlignment="1">
      <alignment horizontal="center" vertical="center" wrapText="1"/>
    </xf>
    <xf numFmtId="0" fontId="17" fillId="0" borderId="18" xfId="1" applyFont="1" applyFill="1" applyBorder="1" applyAlignment="1">
      <alignment horizontal="center" vertical="center" wrapText="1"/>
    </xf>
    <xf numFmtId="49" fontId="14" fillId="0" borderId="30" xfId="1" applyNumberFormat="1" applyFont="1" applyFill="1" applyBorder="1" applyAlignment="1">
      <alignment horizontal="center" vertical="center" wrapText="1"/>
    </xf>
    <xf numFmtId="0" fontId="15" fillId="0" borderId="22" xfId="1" applyFont="1" applyFill="1" applyBorder="1" applyAlignment="1">
      <alignment horizontal="center" vertical="center" wrapText="1"/>
    </xf>
    <xf numFmtId="0" fontId="18" fillId="0" borderId="18" xfId="1" applyFont="1" applyBorder="1" applyAlignment="1">
      <alignment horizontal="center"/>
    </xf>
    <xf numFmtId="0" fontId="20" fillId="0" borderId="28" xfId="0" applyFont="1" applyBorder="1" applyAlignment="1">
      <alignment horizontal="center" vertical="center"/>
    </xf>
    <xf numFmtId="49" fontId="14" fillId="0" borderId="28" xfId="1" applyNumberFormat="1" applyFont="1" applyFill="1" applyBorder="1" applyAlignment="1">
      <alignment horizontal="center" vertical="center" wrapText="1"/>
    </xf>
    <xf numFmtId="10" fontId="15" fillId="0" borderId="24" xfId="1" applyNumberFormat="1" applyFont="1" applyFill="1" applyBorder="1" applyAlignment="1">
      <alignment vertical="center" wrapText="1"/>
    </xf>
    <xf numFmtId="10" fontId="15" fillId="0" borderId="24" xfId="1" applyNumberFormat="1" applyFont="1" applyFill="1" applyBorder="1" applyAlignment="1">
      <alignment horizontal="center" vertical="center" wrapText="1"/>
    </xf>
    <xf numFmtId="0" fontId="15" fillId="0" borderId="32" xfId="1" applyFont="1" applyFill="1" applyBorder="1" applyAlignment="1">
      <alignment vertical="center" wrapText="1"/>
    </xf>
    <xf numFmtId="0" fontId="15" fillId="0" borderId="13" xfId="1" applyFont="1" applyFill="1" applyBorder="1" applyAlignment="1">
      <alignment vertical="center" wrapText="1"/>
    </xf>
    <xf numFmtId="0" fontId="15" fillId="0" borderId="33" xfId="1" applyFont="1" applyFill="1" applyBorder="1" applyAlignment="1">
      <alignment horizontal="center" vertical="center" wrapText="1"/>
    </xf>
    <xf numFmtId="0" fontId="15" fillId="0" borderId="34" xfId="1" applyFont="1" applyFill="1" applyBorder="1" applyAlignment="1">
      <alignment vertical="center" wrapText="1"/>
    </xf>
    <xf numFmtId="2" fontId="21" fillId="0" borderId="30" xfId="1" applyNumberFormat="1" applyFont="1" applyFill="1" applyBorder="1" applyAlignment="1">
      <alignment horizontal="center" vertical="center" wrapText="1"/>
    </xf>
    <xf numFmtId="164" fontId="21" fillId="0" borderId="28" xfId="1" applyNumberFormat="1" applyFont="1" applyFill="1" applyBorder="1" applyAlignment="1">
      <alignment horizontal="center" vertical="center" wrapText="1"/>
    </xf>
    <xf numFmtId="2" fontId="21" fillId="0" borderId="28" xfId="1" applyNumberFormat="1" applyFont="1" applyFill="1" applyBorder="1" applyAlignment="1">
      <alignment horizontal="center" vertical="center" wrapText="1"/>
    </xf>
    <xf numFmtId="2" fontId="21" fillId="0" borderId="28" xfId="1" applyNumberFormat="1" applyFont="1" applyBorder="1" applyAlignment="1">
      <alignment horizontal="center" vertical="center" wrapText="1"/>
    </xf>
    <xf numFmtId="2" fontId="21" fillId="0" borderId="35" xfId="1" applyNumberFormat="1" applyFont="1" applyBorder="1" applyAlignment="1">
      <alignment horizontal="center" vertical="center"/>
    </xf>
    <xf numFmtId="2" fontId="21" fillId="0" borderId="35" xfId="1" applyNumberFormat="1" applyFont="1" applyBorder="1" applyAlignment="1">
      <alignment horizontal="center" vertical="center" wrapText="1"/>
    </xf>
    <xf numFmtId="0" fontId="15" fillId="0" borderId="28" xfId="1" applyFont="1" applyBorder="1" applyAlignment="1">
      <alignment horizontal="center" vertical="center"/>
    </xf>
    <xf numFmtId="0" fontId="15" fillId="0" borderId="22" xfId="1" applyFont="1" applyBorder="1" applyAlignment="1">
      <alignment vertical="center"/>
    </xf>
    <xf numFmtId="2" fontId="21" fillId="0" borderId="36" xfId="1" applyNumberFormat="1" applyFont="1" applyFill="1" applyBorder="1" applyAlignment="1">
      <alignment horizontal="center" vertical="center" wrapText="1"/>
    </xf>
    <xf numFmtId="164" fontId="21" fillId="0" borderId="35" xfId="1" applyNumberFormat="1" applyFont="1" applyFill="1" applyBorder="1" applyAlignment="1">
      <alignment horizontal="center" vertical="center" wrapText="1"/>
    </xf>
    <xf numFmtId="2" fontId="21" fillId="0" borderId="35" xfId="1" applyNumberFormat="1" applyFont="1" applyFill="1" applyBorder="1" applyAlignment="1">
      <alignment horizontal="center" vertical="center" wrapText="1"/>
    </xf>
    <xf numFmtId="0" fontId="15" fillId="0" borderId="35" xfId="1" applyFont="1" applyBorder="1" applyAlignment="1">
      <alignment horizontal="center" vertical="center"/>
    </xf>
    <xf numFmtId="0" fontId="15" fillId="0" borderId="25" xfId="1" applyFont="1" applyBorder="1" applyAlignment="1">
      <alignment vertical="center"/>
    </xf>
    <xf numFmtId="0" fontId="21" fillId="0" borderId="35" xfId="1" applyFont="1" applyBorder="1" applyAlignment="1">
      <alignment horizontal="center" vertical="center" wrapText="1"/>
    </xf>
    <xf numFmtId="2" fontId="21" fillId="0" borderId="35" xfId="1" applyNumberFormat="1" applyFont="1" applyBorder="1" applyAlignment="1">
      <alignment vertical="center"/>
    </xf>
    <xf numFmtId="0" fontId="21" fillId="0" borderId="35" xfId="1" applyFont="1" applyBorder="1" applyAlignment="1">
      <alignment vertical="center"/>
    </xf>
    <xf numFmtId="164" fontId="21" fillId="0" borderId="35" xfId="1" applyNumberFormat="1" applyFont="1" applyBorder="1" applyAlignment="1">
      <alignment horizontal="center" vertical="center"/>
    </xf>
    <xf numFmtId="164" fontId="21" fillId="0" borderId="35" xfId="1" applyNumberFormat="1" applyFont="1" applyBorder="1" applyAlignment="1">
      <alignment horizontal="center" vertical="center" wrapText="1"/>
    </xf>
    <xf numFmtId="2" fontId="22" fillId="0" borderId="23" xfId="1" applyNumberFormat="1" applyFont="1" applyFill="1" applyBorder="1" applyAlignment="1">
      <alignment horizontal="center" vertical="center" wrapText="1"/>
    </xf>
    <xf numFmtId="164" fontId="21" fillId="0" borderId="24" xfId="1" applyNumberFormat="1" applyFont="1" applyFill="1" applyBorder="1" applyAlignment="1">
      <alignment horizontal="center" vertical="center" wrapText="1"/>
    </xf>
    <xf numFmtId="164" fontId="21" fillId="0" borderId="24" xfId="1" applyNumberFormat="1" applyFont="1" applyBorder="1" applyAlignment="1">
      <alignment horizontal="center" vertical="center" wrapText="1"/>
    </xf>
    <xf numFmtId="2" fontId="21" fillId="0" borderId="24" xfId="1" applyNumberFormat="1" applyFont="1" applyFill="1" applyBorder="1" applyAlignment="1">
      <alignment horizontal="center" vertical="center" wrapText="1"/>
    </xf>
    <xf numFmtId="2" fontId="21" fillId="0" borderId="24" xfId="1" applyNumberFormat="1" applyFont="1" applyBorder="1" applyAlignment="1">
      <alignment horizontal="center" vertical="center"/>
    </xf>
    <xf numFmtId="0" fontId="15" fillId="0" borderId="24" xfId="1" applyFont="1" applyBorder="1" applyAlignment="1">
      <alignment horizontal="center" vertical="center"/>
    </xf>
    <xf numFmtId="0" fontId="15" fillId="0" borderId="14" xfId="1" applyFont="1" applyBorder="1" applyAlignment="1">
      <alignment vertical="center"/>
    </xf>
    <xf numFmtId="0" fontId="15" fillId="0" borderId="38" xfId="1" applyFont="1" applyBorder="1" applyAlignment="1">
      <alignment horizontal="center" vertical="center" wrapText="1"/>
    </xf>
    <xf numFmtId="10" fontId="15" fillId="0" borderId="28" xfId="1" applyNumberFormat="1" applyFont="1" applyFill="1" applyBorder="1" applyAlignment="1">
      <alignment horizontal="center" vertical="center" wrapText="1"/>
    </xf>
    <xf numFmtId="2" fontId="15" fillId="0" borderId="35" xfId="1" applyNumberFormat="1" applyFont="1" applyFill="1" applyBorder="1" applyAlignment="1">
      <alignment horizontal="center" vertical="center" wrapText="1"/>
    </xf>
    <xf numFmtId="2" fontId="15" fillId="0" borderId="28" xfId="1" applyNumberFormat="1" applyFont="1" applyFill="1" applyBorder="1" applyAlignment="1">
      <alignment horizontal="center" vertical="center" wrapText="1"/>
    </xf>
    <xf numFmtId="0" fontId="15" fillId="0" borderId="28" xfId="1" applyFont="1" applyFill="1" applyBorder="1" applyAlignment="1">
      <alignment horizontal="center" vertical="center" wrapText="1"/>
    </xf>
    <xf numFmtId="165" fontId="15" fillId="0" borderId="25" xfId="1" applyNumberFormat="1" applyFont="1" applyFill="1" applyBorder="1" applyAlignment="1">
      <alignment horizontal="center" vertical="center" wrapText="1"/>
    </xf>
    <xf numFmtId="10" fontId="15" fillId="0" borderId="35" xfId="1" applyNumberFormat="1" applyFont="1" applyFill="1" applyBorder="1" applyAlignment="1">
      <alignment horizontal="center" vertical="center" wrapText="1"/>
    </xf>
    <xf numFmtId="0" fontId="15" fillId="0" borderId="35" xfId="1" applyFont="1" applyFill="1" applyBorder="1" applyAlignment="1">
      <alignment horizontal="center" vertical="center" wrapText="1"/>
    </xf>
    <xf numFmtId="2" fontId="15" fillId="0" borderId="27" xfId="1" applyNumberFormat="1" applyFont="1" applyFill="1" applyBorder="1" applyAlignment="1">
      <alignment horizontal="center" vertical="center" wrapText="1"/>
    </xf>
    <xf numFmtId="10" fontId="15" fillId="0" borderId="47" xfId="1" applyNumberFormat="1" applyFont="1" applyFill="1" applyBorder="1" applyAlignment="1">
      <alignment horizontal="center" vertical="center" wrapText="1"/>
    </xf>
    <xf numFmtId="2" fontId="15" fillId="0" borderId="24" xfId="1" applyNumberFormat="1" applyFont="1" applyFill="1" applyBorder="1" applyAlignment="1">
      <alignment horizontal="center" vertical="center" wrapText="1"/>
    </xf>
    <xf numFmtId="0" fontId="0" fillId="5" borderId="0" xfId="0" applyFill="1" applyBorder="1"/>
    <xf numFmtId="165" fontId="15" fillId="0" borderId="14" xfId="1" applyNumberFormat="1" applyFont="1" applyFill="1" applyBorder="1" applyAlignment="1">
      <alignment horizontal="right" vertical="center" wrapText="1"/>
    </xf>
    <xf numFmtId="10" fontId="15" fillId="0" borderId="13" xfId="1" applyNumberFormat="1" applyFont="1" applyFill="1" applyBorder="1" applyAlignment="1">
      <alignment horizontal="center" vertical="center" wrapText="1"/>
    </xf>
    <xf numFmtId="2" fontId="15" fillId="0" borderId="49" xfId="1" applyNumberFormat="1" applyFont="1" applyFill="1" applyBorder="1" applyAlignment="1">
      <alignment horizontal="center" vertical="center" wrapText="1"/>
    </xf>
    <xf numFmtId="0" fontId="15" fillId="0" borderId="49" xfId="1" applyFont="1" applyFill="1" applyBorder="1" applyAlignment="1">
      <alignment horizontal="center" vertical="center" wrapText="1"/>
    </xf>
    <xf numFmtId="165" fontId="15" fillId="0" borderId="50" xfId="1" applyNumberFormat="1" applyFont="1" applyFill="1" applyBorder="1" applyAlignment="1">
      <alignment horizontal="center" vertical="center" wrapText="1"/>
    </xf>
    <xf numFmtId="0" fontId="11" fillId="5" borderId="53" xfId="1" applyFont="1" applyFill="1" applyBorder="1" applyAlignment="1">
      <alignment horizontal="center" vertical="center" wrapText="1"/>
    </xf>
    <xf numFmtId="0" fontId="15" fillId="0" borderId="4" xfId="1" applyFont="1" applyBorder="1" applyAlignment="1">
      <alignment horizontal="center" vertical="center" wrapText="1"/>
    </xf>
    <xf numFmtId="0" fontId="15" fillId="0" borderId="35" xfId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/>
    </xf>
    <xf numFmtId="2" fontId="0" fillId="2" borderId="0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2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13" fillId="0" borderId="17" xfId="1" applyFont="1" applyFill="1" applyBorder="1" applyAlignment="1">
      <alignment horizontal="left" vertical="center"/>
    </xf>
    <xf numFmtId="0" fontId="13" fillId="0" borderId="16" xfId="1" applyFont="1" applyFill="1" applyBorder="1" applyAlignment="1">
      <alignment horizontal="left" vertical="center"/>
    </xf>
    <xf numFmtId="0" fontId="13" fillId="0" borderId="15" xfId="1" applyFont="1" applyFill="1" applyBorder="1" applyAlignment="1">
      <alignment horizontal="left" vertical="center"/>
    </xf>
    <xf numFmtId="0" fontId="9" fillId="0" borderId="24" xfId="0" applyFont="1" applyBorder="1" applyAlignment="1">
      <alignment horizontal="left"/>
    </xf>
    <xf numFmtId="0" fontId="9" fillId="0" borderId="23" xfId="0" applyFont="1" applyBorder="1" applyAlignment="1">
      <alignment horizontal="left"/>
    </xf>
    <xf numFmtId="0" fontId="0" fillId="0" borderId="17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10" fillId="0" borderId="9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0" borderId="7" xfId="1" applyFont="1" applyFill="1" applyBorder="1" applyAlignment="1">
      <alignment horizontal="center" vertical="center"/>
    </xf>
    <xf numFmtId="0" fontId="9" fillId="0" borderId="24" xfId="0" applyFont="1" applyBorder="1" applyAlignment="1">
      <alignment horizontal="left" wrapText="1"/>
    </xf>
    <xf numFmtId="0" fontId="11" fillId="4" borderId="17" xfId="1" applyFont="1" applyFill="1" applyBorder="1" applyAlignment="1">
      <alignment horizontal="left" vertical="center"/>
    </xf>
    <xf numFmtId="0" fontId="11" fillId="4" borderId="16" xfId="1" applyFont="1" applyFill="1" applyBorder="1" applyAlignment="1">
      <alignment horizontal="left" vertical="center"/>
    </xf>
    <xf numFmtId="0" fontId="11" fillId="4" borderId="15" xfId="1" applyFont="1" applyFill="1" applyBorder="1" applyAlignment="1">
      <alignment horizontal="left" vertical="center"/>
    </xf>
    <xf numFmtId="0" fontId="0" fillId="0" borderId="21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19" xfId="0" applyBorder="1" applyAlignment="1">
      <alignment horizontal="left"/>
    </xf>
    <xf numFmtId="0" fontId="15" fillId="0" borderId="35" xfId="1" applyFont="1" applyBorder="1" applyAlignment="1">
      <alignment horizontal="right" vertical="center"/>
    </xf>
    <xf numFmtId="0" fontId="15" fillId="0" borderId="28" xfId="1" applyFont="1" applyBorder="1" applyAlignment="1">
      <alignment horizontal="right" vertical="center"/>
    </xf>
    <xf numFmtId="0" fontId="11" fillId="0" borderId="17" xfId="1" applyFont="1" applyFill="1" applyBorder="1" applyAlignment="1">
      <alignment horizontal="left" vertical="center"/>
    </xf>
    <xf numFmtId="0" fontId="11" fillId="0" borderId="16" xfId="1" applyFont="1" applyFill="1" applyBorder="1" applyAlignment="1">
      <alignment horizontal="left" vertical="center"/>
    </xf>
    <xf numFmtId="0" fontId="11" fillId="0" borderId="15" xfId="1" applyFont="1" applyFill="1" applyBorder="1" applyAlignment="1">
      <alignment horizontal="left" vertical="center"/>
    </xf>
    <xf numFmtId="10" fontId="15" fillId="0" borderId="13" xfId="1" applyNumberFormat="1" applyFont="1" applyFill="1" applyBorder="1" applyAlignment="1">
      <alignment horizontal="center" vertical="center" wrapText="1"/>
    </xf>
    <xf numFmtId="10" fontId="15" fillId="0" borderId="32" xfId="1" applyNumberFormat="1" applyFont="1" applyFill="1" applyBorder="1" applyAlignment="1">
      <alignment horizontal="center" vertical="center" wrapText="1"/>
    </xf>
    <xf numFmtId="49" fontId="14" fillId="0" borderId="9" xfId="1" applyNumberFormat="1" applyFont="1" applyFill="1" applyBorder="1" applyAlignment="1">
      <alignment horizontal="center" vertical="center" wrapText="1"/>
    </xf>
    <xf numFmtId="49" fontId="14" fillId="0" borderId="31" xfId="1" applyNumberFormat="1" applyFont="1" applyFill="1" applyBorder="1" applyAlignment="1">
      <alignment horizontal="center" vertical="center" wrapText="1"/>
    </xf>
    <xf numFmtId="0" fontId="15" fillId="0" borderId="35" xfId="1" applyFont="1" applyBorder="1" applyAlignment="1">
      <alignment horizontal="left" vertical="center"/>
    </xf>
    <xf numFmtId="0" fontId="11" fillId="0" borderId="42" xfId="1" applyFont="1" applyFill="1" applyBorder="1" applyAlignment="1">
      <alignment horizontal="center" vertical="center" wrapText="1"/>
    </xf>
    <xf numFmtId="0" fontId="11" fillId="0" borderId="39" xfId="1" applyFont="1" applyFill="1" applyBorder="1" applyAlignment="1">
      <alignment horizontal="center" vertical="center" wrapText="1"/>
    </xf>
    <xf numFmtId="0" fontId="11" fillId="0" borderId="41" xfId="1" applyFont="1" applyFill="1" applyBorder="1" applyAlignment="1">
      <alignment horizontal="center" vertical="center"/>
    </xf>
    <xf numFmtId="0" fontId="11" fillId="0" borderId="38" xfId="1" applyFont="1" applyFill="1" applyBorder="1" applyAlignment="1">
      <alignment horizontal="center" vertical="center"/>
    </xf>
    <xf numFmtId="0" fontId="15" fillId="0" borderId="41" xfId="1" applyFont="1" applyBorder="1" applyAlignment="1">
      <alignment horizontal="center" vertical="center"/>
    </xf>
    <xf numFmtId="0" fontId="15" fillId="0" borderId="38" xfId="1" applyFont="1" applyBorder="1" applyAlignment="1">
      <alignment horizontal="center" vertical="center"/>
    </xf>
    <xf numFmtId="0" fontId="15" fillId="0" borderId="41" xfId="1" applyFont="1" applyBorder="1" applyAlignment="1">
      <alignment horizontal="center" vertical="center" wrapText="1"/>
    </xf>
    <xf numFmtId="0" fontId="15" fillId="0" borderId="40" xfId="1" applyFont="1" applyBorder="1" applyAlignment="1">
      <alignment horizontal="center" vertical="center" wrapText="1"/>
    </xf>
    <xf numFmtId="0" fontId="15" fillId="0" borderId="37" xfId="1" applyFont="1" applyBorder="1" applyAlignment="1">
      <alignment horizontal="center" vertical="center" wrapText="1"/>
    </xf>
    <xf numFmtId="0" fontId="15" fillId="0" borderId="24" xfId="1" applyFont="1" applyBorder="1" applyAlignment="1">
      <alignment horizontal="left" vertical="center"/>
    </xf>
    <xf numFmtId="0" fontId="15" fillId="0" borderId="35" xfId="1" applyFont="1" applyFill="1" applyBorder="1" applyAlignment="1">
      <alignment horizontal="left" vertical="center" wrapText="1"/>
    </xf>
    <xf numFmtId="0" fontId="23" fillId="0" borderId="35" xfId="1" applyFont="1" applyFill="1" applyBorder="1" applyAlignment="1">
      <alignment horizontal="center" vertical="center" wrapText="1"/>
    </xf>
    <xf numFmtId="0" fontId="23" fillId="0" borderId="36" xfId="1" applyFont="1" applyFill="1" applyBorder="1" applyAlignment="1">
      <alignment horizontal="center" vertical="center" wrapText="1"/>
    </xf>
    <xf numFmtId="0" fontId="15" fillId="0" borderId="28" xfId="1" applyFont="1" applyFill="1" applyBorder="1" applyAlignment="1">
      <alignment horizontal="left" vertical="center" wrapText="1"/>
    </xf>
    <xf numFmtId="0" fontId="23" fillId="0" borderId="28" xfId="1" applyFont="1" applyFill="1" applyBorder="1" applyAlignment="1">
      <alignment horizontal="center" vertical="center" wrapText="1"/>
    </xf>
    <xf numFmtId="0" fontId="23" fillId="0" borderId="30" xfId="1" applyFont="1" applyFill="1" applyBorder="1" applyAlignment="1">
      <alignment horizontal="center" vertical="center" wrapText="1"/>
    </xf>
    <xf numFmtId="0" fontId="23" fillId="0" borderId="44" xfId="1" applyFont="1" applyFill="1" applyBorder="1" applyAlignment="1">
      <alignment horizontal="center" vertical="center" wrapText="1"/>
    </xf>
    <xf numFmtId="0" fontId="23" fillId="0" borderId="43" xfId="1" applyFont="1" applyFill="1" applyBorder="1" applyAlignment="1">
      <alignment horizontal="center" vertical="center" wrapText="1"/>
    </xf>
    <xf numFmtId="0" fontId="15" fillId="0" borderId="44" xfId="1" applyFont="1" applyFill="1" applyBorder="1" applyAlignment="1">
      <alignment horizontal="left" vertical="center" wrapText="1"/>
    </xf>
    <xf numFmtId="0" fontId="15" fillId="0" borderId="46" xfId="1" applyFont="1" applyFill="1" applyBorder="1" applyAlignment="1">
      <alignment horizontal="left" vertical="center" wrapText="1"/>
    </xf>
    <xf numFmtId="0" fontId="15" fillId="0" borderId="45" xfId="1" applyFont="1" applyFill="1" applyBorder="1" applyAlignment="1">
      <alignment horizontal="left" vertical="center" wrapText="1"/>
    </xf>
    <xf numFmtId="0" fontId="15" fillId="0" borderId="44" xfId="1" applyFont="1" applyFill="1" applyBorder="1" applyAlignment="1">
      <alignment horizontal="center" vertical="center" wrapText="1"/>
    </xf>
    <xf numFmtId="0" fontId="15" fillId="0" borderId="43" xfId="1" applyFont="1" applyFill="1" applyBorder="1" applyAlignment="1">
      <alignment horizontal="center" vertical="center" wrapText="1"/>
    </xf>
    <xf numFmtId="0" fontId="15" fillId="0" borderId="35" xfId="1" applyFont="1" applyFill="1" applyBorder="1" applyAlignment="1">
      <alignment horizontal="center" vertical="center" wrapText="1"/>
    </xf>
    <xf numFmtId="0" fontId="15" fillId="0" borderId="36" xfId="1" applyFont="1" applyFill="1" applyBorder="1" applyAlignment="1">
      <alignment horizontal="center" vertical="center" wrapText="1"/>
    </xf>
    <xf numFmtId="0" fontId="24" fillId="0" borderId="35" xfId="1" applyFont="1" applyBorder="1"/>
    <xf numFmtId="0" fontId="15" fillId="0" borderId="49" xfId="1" applyFont="1" applyFill="1" applyBorder="1" applyAlignment="1">
      <alignment horizontal="left" vertical="center" wrapText="1"/>
    </xf>
    <xf numFmtId="0" fontId="24" fillId="0" borderId="49" xfId="1" applyFont="1" applyBorder="1"/>
    <xf numFmtId="0" fontId="15" fillId="0" borderId="13" xfId="1" applyFont="1" applyFill="1" applyBorder="1" applyAlignment="1">
      <alignment horizontal="center" vertical="center" wrapText="1"/>
    </xf>
    <xf numFmtId="0" fontId="15" fillId="0" borderId="11" xfId="1" applyFont="1" applyFill="1" applyBorder="1" applyAlignment="1">
      <alignment horizontal="center" vertical="center" wrapText="1"/>
    </xf>
    <xf numFmtId="0" fontId="15" fillId="0" borderId="21" xfId="1" applyFont="1" applyFill="1" applyBorder="1" applyAlignment="1">
      <alignment horizontal="center" vertical="center" wrapText="1"/>
    </xf>
    <xf numFmtId="0" fontId="15" fillId="0" borderId="19" xfId="1" applyFont="1" applyFill="1" applyBorder="1" applyAlignment="1">
      <alignment horizontal="center" vertical="center" wrapText="1"/>
    </xf>
    <xf numFmtId="0" fontId="15" fillId="0" borderId="47" xfId="1" applyFont="1" applyFill="1" applyBorder="1" applyAlignment="1">
      <alignment horizontal="center" vertical="center" wrapText="1"/>
    </xf>
    <xf numFmtId="0" fontId="15" fillId="0" borderId="48" xfId="1" applyFont="1" applyFill="1" applyBorder="1" applyAlignment="1">
      <alignment horizontal="center" vertical="center" wrapText="1"/>
    </xf>
    <xf numFmtId="0" fontId="15" fillId="4" borderId="35" xfId="1" applyFont="1" applyFill="1" applyBorder="1" applyAlignment="1">
      <alignment horizontal="center" vertical="center" wrapText="1"/>
    </xf>
    <xf numFmtId="0" fontId="15" fillId="4" borderId="36" xfId="1" applyFont="1" applyFill="1" applyBorder="1" applyAlignment="1">
      <alignment horizontal="center" vertical="center" wrapText="1"/>
    </xf>
    <xf numFmtId="0" fontId="15" fillId="0" borderId="57" xfId="1" applyFont="1" applyBorder="1" applyAlignment="1">
      <alignment horizontal="center" vertical="center" wrapText="1"/>
    </xf>
    <xf numFmtId="0" fontId="15" fillId="0" borderId="55" xfId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0" fontId="15" fillId="0" borderId="4" xfId="1" applyFont="1" applyBorder="1" applyAlignment="1">
      <alignment horizontal="center" vertical="center" wrapText="1"/>
    </xf>
    <xf numFmtId="0" fontId="15" fillId="0" borderId="56" xfId="1" applyFont="1" applyBorder="1" applyAlignment="1">
      <alignment horizontal="center" vertical="center" wrapText="1"/>
    </xf>
    <xf numFmtId="0" fontId="15" fillId="0" borderId="54" xfId="1" applyFont="1" applyBorder="1" applyAlignment="1">
      <alignment horizontal="center" vertical="center" wrapText="1"/>
    </xf>
    <xf numFmtId="0" fontId="11" fillId="5" borderId="18" xfId="1" applyFont="1" applyFill="1" applyBorder="1" applyAlignment="1">
      <alignment horizontal="left" vertical="center" wrapText="1"/>
    </xf>
    <xf numFmtId="0" fontId="11" fillId="5" borderId="52" xfId="1" applyFont="1" applyFill="1" applyBorder="1" applyAlignment="1">
      <alignment horizontal="left" vertical="center" wrapText="1"/>
    </xf>
    <xf numFmtId="0" fontId="11" fillId="5" borderId="51" xfId="1" applyFont="1" applyFill="1" applyBorder="1" applyAlignment="1">
      <alignment horizontal="left" vertical="center" wrapText="1"/>
    </xf>
    <xf numFmtId="0" fontId="4" fillId="0" borderId="42" xfId="1" applyFont="1" applyFill="1" applyBorder="1" applyAlignment="1">
      <alignment horizontal="center" vertical="center" wrapText="1"/>
    </xf>
    <xf numFmtId="0" fontId="4" fillId="0" borderId="41" xfId="1" applyFont="1" applyFill="1" applyBorder="1" applyAlignment="1">
      <alignment horizontal="center" vertical="center" wrapText="1"/>
    </xf>
    <xf numFmtId="0" fontId="4" fillId="0" borderId="40" xfId="1" applyFont="1" applyFill="1" applyBorder="1" applyAlignment="1">
      <alignment horizontal="center" vertical="center" wrapText="1"/>
    </xf>
    <xf numFmtId="0" fontId="5" fillId="0" borderId="57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/>
    </xf>
    <xf numFmtId="0" fontId="25" fillId="0" borderId="1" xfId="1" applyFont="1" applyFill="1" applyBorder="1" applyAlignment="1">
      <alignment horizontal="left" vertical="center" wrapText="1"/>
    </xf>
    <xf numFmtId="0" fontId="25" fillId="0" borderId="56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/>
    </xf>
    <xf numFmtId="14" fontId="15" fillId="0" borderId="1" xfId="1" applyNumberFormat="1" applyFont="1" applyFill="1" applyBorder="1" applyAlignment="1">
      <alignment horizontal="left" vertical="center"/>
    </xf>
    <xf numFmtId="14" fontId="15" fillId="0" borderId="56" xfId="1" applyNumberFormat="1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14" fontId="6" fillId="0" borderId="1" xfId="1" applyNumberFormat="1" applyFont="1" applyFill="1" applyBorder="1" applyAlignment="1">
      <alignment vertical="center"/>
    </xf>
    <xf numFmtId="0" fontId="4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6" fillId="0" borderId="2" xfId="1" applyFont="1" applyFill="1" applyBorder="1" applyAlignment="1">
      <alignment horizontal="left" vertical="center"/>
    </xf>
    <xf numFmtId="0" fontId="6" fillId="0" borderId="3" xfId="1" applyFont="1" applyFill="1" applyBorder="1" applyAlignment="1">
      <alignment horizontal="left" vertical="center"/>
    </xf>
    <xf numFmtId="14" fontId="6" fillId="0" borderId="1" xfId="1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8" fillId="2" borderId="4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2" fontId="8" fillId="2" borderId="4" xfId="0" applyNumberFormat="1" applyFont="1" applyFill="1" applyBorder="1" applyAlignment="1">
      <alignment horizontal="left" vertical="center" wrapText="1"/>
    </xf>
    <xf numFmtId="2" fontId="8" fillId="2" borderId="6" xfId="0" applyNumberFormat="1" applyFont="1" applyFill="1" applyBorder="1" applyAlignment="1">
      <alignment horizontal="left" vertical="center" wrapText="1"/>
    </xf>
  </cellXfs>
  <cellStyles count="3">
    <cellStyle name="Normal" xfId="0" builtinId="0"/>
    <cellStyle name="Normal 3" xfId="1"/>
    <cellStyle name="Normal 96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W96"/>
  <sheetViews>
    <sheetView workbookViewId="0">
      <selection activeCell="M80" sqref="M80"/>
    </sheetView>
  </sheetViews>
  <sheetFormatPr defaultRowHeight="15"/>
  <cols>
    <col min="1" max="1" width="10.85546875" style="2" customWidth="1"/>
    <col min="2" max="2" width="11.85546875" style="2" customWidth="1"/>
    <col min="3" max="3" width="11.28515625" style="2" bestFit="1" customWidth="1"/>
    <col min="4" max="4" width="11.28515625" style="2" customWidth="1"/>
    <col min="5" max="5" width="11.5703125" style="2" customWidth="1"/>
    <col min="6" max="6" width="11.7109375" style="2" customWidth="1"/>
    <col min="7" max="7" width="12.85546875" style="2" customWidth="1"/>
    <col min="8" max="8" width="12" style="2" customWidth="1"/>
    <col min="9" max="9" width="13.140625" style="2" customWidth="1"/>
    <col min="10" max="10" width="12.7109375" style="2" customWidth="1"/>
    <col min="11" max="11" width="13.140625" style="2" customWidth="1"/>
    <col min="12" max="12" width="11.5703125" style="2" customWidth="1"/>
    <col min="13" max="13" width="29.42578125" style="2" customWidth="1"/>
    <col min="14" max="14" width="5.5703125" style="1" customWidth="1"/>
    <col min="15" max="20" width="9.140625" style="1"/>
    <col min="21" max="16384" width="9.140625" style="2"/>
  </cols>
  <sheetData>
    <row r="1" spans="1:49" ht="26.25">
      <c r="A1" s="186" t="s">
        <v>191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8"/>
    </row>
    <row r="2" spans="1:49" ht="20.25">
      <c r="A2" s="189" t="s">
        <v>1</v>
      </c>
      <c r="B2" s="190"/>
      <c r="C2" s="191" t="s">
        <v>2</v>
      </c>
      <c r="D2" s="191"/>
      <c r="E2" s="191"/>
      <c r="F2" s="191"/>
      <c r="G2" s="191"/>
      <c r="H2" s="191"/>
      <c r="I2" s="191"/>
      <c r="J2" s="191"/>
      <c r="K2" s="191"/>
      <c r="L2" s="191"/>
      <c r="M2" s="192"/>
    </row>
    <row r="3" spans="1:49" ht="18.75">
      <c r="A3" s="189" t="s">
        <v>3</v>
      </c>
      <c r="B3" s="190"/>
      <c r="C3" s="193" t="s">
        <v>4</v>
      </c>
      <c r="D3" s="193"/>
      <c r="E3" s="193"/>
      <c r="F3" s="193"/>
      <c r="G3" s="193"/>
      <c r="H3" s="193"/>
      <c r="I3" s="193"/>
      <c r="J3" s="193" t="s">
        <v>5</v>
      </c>
      <c r="K3" s="193"/>
      <c r="L3" s="194" t="s">
        <v>196</v>
      </c>
      <c r="M3" s="195"/>
    </row>
    <row r="4" spans="1:49" ht="18.75">
      <c r="A4" s="189" t="s">
        <v>6</v>
      </c>
      <c r="B4" s="196"/>
      <c r="C4" s="193" t="s">
        <v>7</v>
      </c>
      <c r="D4" s="193"/>
      <c r="E4" s="193"/>
      <c r="F4" s="193"/>
      <c r="G4" s="193"/>
      <c r="H4" s="193"/>
      <c r="I4" s="193"/>
      <c r="J4" s="193" t="s">
        <v>8</v>
      </c>
      <c r="K4" s="193"/>
      <c r="L4" s="194" t="s">
        <v>9</v>
      </c>
      <c r="M4" s="195"/>
    </row>
    <row r="5" spans="1:49" ht="16.5">
      <c r="A5" s="177" t="s">
        <v>170</v>
      </c>
      <c r="B5" s="179" t="s">
        <v>169</v>
      </c>
      <c r="C5" s="179"/>
      <c r="D5" s="179"/>
      <c r="E5" s="179" t="s">
        <v>136</v>
      </c>
      <c r="F5" s="179" t="s">
        <v>168</v>
      </c>
      <c r="G5" s="179" t="s">
        <v>167</v>
      </c>
      <c r="H5" s="179"/>
      <c r="I5" s="179"/>
      <c r="J5" s="179" t="s">
        <v>16</v>
      </c>
      <c r="K5" s="179" t="s">
        <v>166</v>
      </c>
      <c r="L5" s="179" t="s">
        <v>20</v>
      </c>
      <c r="M5" s="181"/>
    </row>
    <row r="6" spans="1:49" ht="33.75" thickBot="1">
      <c r="A6" s="178"/>
      <c r="B6" s="180"/>
      <c r="C6" s="180"/>
      <c r="D6" s="180"/>
      <c r="E6" s="180"/>
      <c r="F6" s="180"/>
      <c r="G6" s="99" t="s">
        <v>132</v>
      </c>
      <c r="H6" s="99" t="s">
        <v>19</v>
      </c>
      <c r="I6" s="99" t="s">
        <v>70</v>
      </c>
      <c r="J6" s="180"/>
      <c r="K6" s="180"/>
      <c r="L6" s="180"/>
      <c r="M6" s="182"/>
    </row>
    <row r="7" spans="1:49" ht="62.25" customHeight="1" thickBot="1">
      <c r="A7" s="98" t="s">
        <v>22</v>
      </c>
      <c r="B7" s="183" t="s">
        <v>174</v>
      </c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5"/>
    </row>
    <row r="8" spans="1:49" ht="20.100000000000001" customHeight="1">
      <c r="A8" s="97">
        <v>1</v>
      </c>
      <c r="B8" s="167" t="s">
        <v>165</v>
      </c>
      <c r="C8" s="167"/>
      <c r="D8" s="168"/>
      <c r="E8" s="96"/>
      <c r="F8" s="95"/>
      <c r="G8" s="95"/>
      <c r="H8" s="95"/>
      <c r="I8" s="95"/>
      <c r="J8" s="95"/>
      <c r="K8" s="94"/>
      <c r="L8" s="169"/>
      <c r="M8" s="170"/>
    </row>
    <row r="9" spans="1:49" ht="20.100000000000001" customHeight="1">
      <c r="A9" s="93" t="s">
        <v>164</v>
      </c>
      <c r="B9" s="159" t="s">
        <v>163</v>
      </c>
      <c r="C9" s="160"/>
      <c r="D9" s="161"/>
      <c r="E9" s="42" t="s">
        <v>150</v>
      </c>
      <c r="F9" s="91">
        <f>1600+20+35+100+70+175+120</f>
        <v>2120</v>
      </c>
      <c r="G9" s="91">
        <v>1954</v>
      </c>
      <c r="H9" s="91">
        <v>10</v>
      </c>
      <c r="I9" s="91">
        <f>H9+G9</f>
        <v>1964</v>
      </c>
      <c r="J9" s="83">
        <f>F9-I9</f>
        <v>156</v>
      </c>
      <c r="K9" s="90">
        <f>(I9*100)/F9/100</f>
        <v>0.92641509433962266</v>
      </c>
      <c r="L9" s="171"/>
      <c r="M9" s="172"/>
    </row>
    <row r="10" spans="1:49" s="92" customFormat="1" ht="20.100000000000001" customHeight="1">
      <c r="A10" s="93" t="s">
        <v>162</v>
      </c>
      <c r="B10" s="159" t="s">
        <v>161</v>
      </c>
      <c r="C10" s="160"/>
      <c r="D10" s="161"/>
      <c r="E10" s="42" t="s">
        <v>150</v>
      </c>
      <c r="F10" s="91">
        <f>3900+260+360</f>
        <v>4520</v>
      </c>
      <c r="G10" s="91">
        <v>3992</v>
      </c>
      <c r="H10" s="91">
        <v>25</v>
      </c>
      <c r="I10" s="91">
        <f>H10+G10</f>
        <v>4017</v>
      </c>
      <c r="J10" s="83">
        <f>F10-I10</f>
        <v>503</v>
      </c>
      <c r="K10" s="90">
        <f>(I10*100)/F10/100</f>
        <v>0.88871681415929205</v>
      </c>
      <c r="L10" s="173"/>
      <c r="M10" s="174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</row>
    <row r="11" spans="1:49" ht="36" customHeight="1">
      <c r="A11" s="86">
        <v>2</v>
      </c>
      <c r="B11" s="151" t="s">
        <v>160</v>
      </c>
      <c r="C11" s="151"/>
      <c r="D11" s="166"/>
      <c r="E11" s="100" t="s">
        <v>150</v>
      </c>
      <c r="F11" s="83">
        <f>370+40</f>
        <v>410</v>
      </c>
      <c r="G11" s="83">
        <v>405.5</v>
      </c>
      <c r="H11" s="83">
        <v>2</v>
      </c>
      <c r="I11" s="91">
        <f>H11+G11</f>
        <v>407.5</v>
      </c>
      <c r="J11" s="83">
        <f>F11-I11</f>
        <v>2.5</v>
      </c>
      <c r="K11" s="90">
        <f>(I11*100)/F11/100</f>
        <v>0.99390243902439024</v>
      </c>
      <c r="L11" s="162"/>
      <c r="M11" s="163"/>
    </row>
    <row r="12" spans="1:49" ht="20.100000000000001" customHeight="1">
      <c r="A12" s="86">
        <v>3</v>
      </c>
      <c r="B12" s="151" t="s">
        <v>36</v>
      </c>
      <c r="C12" s="151"/>
      <c r="D12" s="151"/>
      <c r="E12" s="88" t="s">
        <v>150</v>
      </c>
      <c r="F12" s="83">
        <f>1250+90</f>
        <v>1340</v>
      </c>
      <c r="G12" s="83">
        <v>1292.5</v>
      </c>
      <c r="H12" s="83">
        <v>5</v>
      </c>
      <c r="I12" s="83">
        <f>H12+G12</f>
        <v>1297.5</v>
      </c>
      <c r="J12" s="83">
        <f>F12-I12</f>
        <v>42.5</v>
      </c>
      <c r="K12" s="87">
        <f>(I12*100)/F12/100</f>
        <v>0.96828358208955223</v>
      </c>
      <c r="L12" s="175"/>
      <c r="M12" s="176"/>
    </row>
    <row r="13" spans="1:49" ht="20.100000000000001" customHeight="1">
      <c r="A13" s="86">
        <v>4</v>
      </c>
      <c r="B13" s="151" t="s">
        <v>159</v>
      </c>
      <c r="C13" s="151"/>
      <c r="D13" s="166"/>
      <c r="H13" s="89"/>
      <c r="L13" s="164"/>
      <c r="M13" s="165"/>
    </row>
    <row r="14" spans="1:49" ht="20.100000000000001" customHeight="1">
      <c r="A14" s="86"/>
      <c r="B14" s="151" t="s">
        <v>158</v>
      </c>
      <c r="C14" s="151"/>
      <c r="D14" s="166"/>
      <c r="E14" s="88" t="s">
        <v>150</v>
      </c>
      <c r="F14" s="83">
        <v>2700</v>
      </c>
      <c r="G14" s="83">
        <f>2660+40</f>
        <v>2700</v>
      </c>
      <c r="H14" s="83">
        <v>0</v>
      </c>
      <c r="I14" s="83">
        <f t="shared" ref="I14:I31" si="0">H14+G14</f>
        <v>2700</v>
      </c>
      <c r="J14" s="83">
        <f t="shared" ref="J14:J32" si="1">F14-I14</f>
        <v>0</v>
      </c>
      <c r="K14" s="87">
        <f>(I14*100)/F14/100</f>
        <v>1</v>
      </c>
      <c r="L14" s="164"/>
      <c r="M14" s="165"/>
    </row>
    <row r="15" spans="1:49" ht="20.100000000000001" customHeight="1">
      <c r="A15" s="86"/>
      <c r="B15" s="151" t="s">
        <v>157</v>
      </c>
      <c r="C15" s="151"/>
      <c r="D15" s="166"/>
      <c r="E15" s="88" t="s">
        <v>150</v>
      </c>
      <c r="F15" s="83">
        <v>1200</v>
      </c>
      <c r="G15" s="83">
        <v>1200</v>
      </c>
      <c r="H15" s="83">
        <v>0</v>
      </c>
      <c r="I15" s="83">
        <f t="shared" si="0"/>
        <v>1200</v>
      </c>
      <c r="J15" s="83">
        <f t="shared" si="1"/>
        <v>0</v>
      </c>
      <c r="K15" s="87">
        <f t="shared" ref="K15:K32" si="2">(I15*100)/F15/100</f>
        <v>1</v>
      </c>
      <c r="L15" s="164"/>
      <c r="M15" s="165"/>
    </row>
    <row r="16" spans="1:49" ht="20.100000000000001" customHeight="1">
      <c r="A16" s="86">
        <v>5</v>
      </c>
      <c r="B16" s="151" t="s">
        <v>156</v>
      </c>
      <c r="C16" s="151"/>
      <c r="D16" s="166"/>
      <c r="E16" s="88" t="s">
        <v>150</v>
      </c>
      <c r="F16" s="83">
        <v>110</v>
      </c>
      <c r="G16" s="83">
        <v>110</v>
      </c>
      <c r="H16" s="83">
        <v>0</v>
      </c>
      <c r="I16" s="83">
        <f t="shared" si="0"/>
        <v>110</v>
      </c>
      <c r="J16" s="83">
        <f t="shared" si="1"/>
        <v>0</v>
      </c>
      <c r="K16" s="87">
        <f t="shared" si="2"/>
        <v>1</v>
      </c>
      <c r="L16" s="164"/>
      <c r="M16" s="165"/>
    </row>
    <row r="17" spans="1:20" ht="20.100000000000001" customHeight="1">
      <c r="A17" s="86">
        <v>6</v>
      </c>
      <c r="B17" s="159" t="s">
        <v>155</v>
      </c>
      <c r="C17" s="160"/>
      <c r="D17" s="161"/>
      <c r="E17" s="88" t="s">
        <v>112</v>
      </c>
      <c r="F17" s="83">
        <v>13.7</v>
      </c>
      <c r="G17" s="83">
        <v>13</v>
      </c>
      <c r="H17" s="83">
        <v>0</v>
      </c>
      <c r="I17" s="83">
        <f t="shared" si="0"/>
        <v>13</v>
      </c>
      <c r="J17" s="83">
        <f t="shared" si="1"/>
        <v>0.69999999999999929</v>
      </c>
      <c r="K17" s="87">
        <f t="shared" si="2"/>
        <v>0.94890510948905116</v>
      </c>
      <c r="L17" s="162"/>
      <c r="M17" s="163"/>
      <c r="N17" s="2"/>
      <c r="O17" s="2"/>
      <c r="P17" s="2"/>
      <c r="Q17" s="2"/>
      <c r="R17" s="2"/>
      <c r="S17" s="2"/>
      <c r="T17" s="2"/>
    </row>
    <row r="18" spans="1:20" ht="20.100000000000001" customHeight="1">
      <c r="A18" s="86">
        <v>7</v>
      </c>
      <c r="B18" s="159" t="s">
        <v>154</v>
      </c>
      <c r="C18" s="160"/>
      <c r="D18" s="161"/>
      <c r="E18" s="88" t="s">
        <v>112</v>
      </c>
      <c r="F18" s="83">
        <v>1.25</v>
      </c>
      <c r="G18" s="83">
        <v>0.76</v>
      </c>
      <c r="H18" s="83">
        <v>0</v>
      </c>
      <c r="I18" s="83">
        <f t="shared" si="0"/>
        <v>0.76</v>
      </c>
      <c r="J18" s="83">
        <f t="shared" si="1"/>
        <v>0.49</v>
      </c>
      <c r="K18" s="87">
        <f t="shared" si="2"/>
        <v>0.60799999999999998</v>
      </c>
      <c r="L18" s="162"/>
      <c r="M18" s="163"/>
      <c r="N18" s="2"/>
      <c r="O18" s="2"/>
      <c r="P18" s="2"/>
      <c r="Q18" s="2"/>
      <c r="R18" s="2"/>
      <c r="S18" s="2"/>
      <c r="T18" s="2"/>
    </row>
    <row r="19" spans="1:20" s="1" customFormat="1" ht="20.100000000000001" customHeight="1">
      <c r="A19" s="86">
        <v>8</v>
      </c>
      <c r="B19" s="151" t="s">
        <v>37</v>
      </c>
      <c r="C19" s="151"/>
      <c r="D19" s="151"/>
      <c r="E19" s="88" t="s">
        <v>150</v>
      </c>
      <c r="F19" s="83">
        <f>2260+15</f>
        <v>2275</v>
      </c>
      <c r="G19" s="83">
        <v>2262</v>
      </c>
      <c r="H19" s="83">
        <v>0</v>
      </c>
      <c r="I19" s="83">
        <f t="shared" si="0"/>
        <v>2262</v>
      </c>
      <c r="J19" s="83">
        <f t="shared" si="1"/>
        <v>13</v>
      </c>
      <c r="K19" s="87">
        <f t="shared" si="2"/>
        <v>0.99428571428571433</v>
      </c>
      <c r="L19" s="164"/>
      <c r="M19" s="165"/>
    </row>
    <row r="20" spans="1:20" s="1" customFormat="1" ht="20.100000000000001" customHeight="1">
      <c r="A20" s="86">
        <v>9</v>
      </c>
      <c r="B20" s="151" t="s">
        <v>153</v>
      </c>
      <c r="C20" s="151"/>
      <c r="D20" s="151"/>
      <c r="E20" s="88" t="s">
        <v>150</v>
      </c>
      <c r="F20" s="83">
        <v>3</v>
      </c>
      <c r="G20" s="83">
        <v>0.55000000000000004</v>
      </c>
      <c r="H20" s="83">
        <v>0</v>
      </c>
      <c r="I20" s="83">
        <f t="shared" si="0"/>
        <v>0.55000000000000004</v>
      </c>
      <c r="J20" s="83">
        <f t="shared" si="1"/>
        <v>2.4500000000000002</v>
      </c>
      <c r="K20" s="87">
        <f t="shared" si="2"/>
        <v>0.18333333333333335</v>
      </c>
      <c r="L20" s="164"/>
      <c r="M20" s="165"/>
    </row>
    <row r="21" spans="1:20" s="1" customFormat="1" ht="20.100000000000001" customHeight="1">
      <c r="A21" s="86">
        <v>10</v>
      </c>
      <c r="B21" s="151" t="s">
        <v>152</v>
      </c>
      <c r="C21" s="151"/>
      <c r="D21" s="151"/>
      <c r="E21" s="88" t="s">
        <v>138</v>
      </c>
      <c r="F21" s="83">
        <v>2700</v>
      </c>
      <c r="G21" s="83">
        <v>2700</v>
      </c>
      <c r="H21" s="83">
        <v>0</v>
      </c>
      <c r="I21" s="83">
        <f t="shared" si="0"/>
        <v>2700</v>
      </c>
      <c r="J21" s="83">
        <f t="shared" si="1"/>
        <v>0</v>
      </c>
      <c r="K21" s="87">
        <f t="shared" si="2"/>
        <v>1</v>
      </c>
      <c r="L21" s="152"/>
      <c r="M21" s="153"/>
    </row>
    <row r="22" spans="1:20" s="1" customFormat="1" ht="20.100000000000001" customHeight="1">
      <c r="A22" s="86">
        <v>11</v>
      </c>
      <c r="B22" s="151" t="s">
        <v>151</v>
      </c>
      <c r="C22" s="151"/>
      <c r="D22" s="151"/>
      <c r="E22" s="88" t="s">
        <v>150</v>
      </c>
      <c r="F22" s="83">
        <v>42</v>
      </c>
      <c r="G22" s="83">
        <v>42</v>
      </c>
      <c r="H22" s="83">
        <v>0</v>
      </c>
      <c r="I22" s="83">
        <f t="shared" si="0"/>
        <v>42</v>
      </c>
      <c r="J22" s="83">
        <f t="shared" si="1"/>
        <v>0</v>
      </c>
      <c r="K22" s="87">
        <f t="shared" si="2"/>
        <v>1</v>
      </c>
      <c r="L22" s="152"/>
      <c r="M22" s="153"/>
    </row>
    <row r="23" spans="1:20" s="1" customFormat="1" ht="20.100000000000001" customHeight="1">
      <c r="A23" s="86">
        <v>12</v>
      </c>
      <c r="B23" s="151" t="s">
        <v>149</v>
      </c>
      <c r="C23" s="151"/>
      <c r="D23" s="151"/>
      <c r="E23" s="88" t="s">
        <v>140</v>
      </c>
      <c r="F23" s="83">
        <v>120</v>
      </c>
      <c r="G23" s="83">
        <v>120</v>
      </c>
      <c r="H23" s="83">
        <v>0</v>
      </c>
      <c r="I23" s="83">
        <f t="shared" si="0"/>
        <v>120</v>
      </c>
      <c r="J23" s="83">
        <f t="shared" si="1"/>
        <v>0</v>
      </c>
      <c r="K23" s="87">
        <f t="shared" si="2"/>
        <v>1</v>
      </c>
      <c r="L23" s="152"/>
      <c r="M23" s="153"/>
    </row>
    <row r="24" spans="1:20" s="1" customFormat="1" ht="20.100000000000001" customHeight="1">
      <c r="A24" s="86">
        <v>13</v>
      </c>
      <c r="B24" s="151" t="s">
        <v>148</v>
      </c>
      <c r="C24" s="151"/>
      <c r="D24" s="151"/>
      <c r="E24" s="88" t="s">
        <v>140</v>
      </c>
      <c r="F24" s="83">
        <v>275</v>
      </c>
      <c r="G24" s="83">
        <v>275</v>
      </c>
      <c r="H24" s="83">
        <v>0</v>
      </c>
      <c r="I24" s="83">
        <f t="shared" si="0"/>
        <v>275</v>
      </c>
      <c r="J24" s="83">
        <f t="shared" si="1"/>
        <v>0</v>
      </c>
      <c r="K24" s="87">
        <f t="shared" si="2"/>
        <v>1</v>
      </c>
      <c r="L24" s="152"/>
      <c r="M24" s="153"/>
    </row>
    <row r="25" spans="1:20" s="1" customFormat="1" ht="20.100000000000001" customHeight="1">
      <c r="A25" s="86">
        <v>14</v>
      </c>
      <c r="B25" s="151" t="s">
        <v>147</v>
      </c>
      <c r="C25" s="151"/>
      <c r="D25" s="151"/>
      <c r="E25" s="88" t="s">
        <v>140</v>
      </c>
      <c r="F25" s="83">
        <v>1250</v>
      </c>
      <c r="G25" s="83">
        <v>0</v>
      </c>
      <c r="H25" s="83">
        <v>0</v>
      </c>
      <c r="I25" s="83">
        <f t="shared" si="0"/>
        <v>0</v>
      </c>
      <c r="J25" s="83">
        <f t="shared" si="1"/>
        <v>1250</v>
      </c>
      <c r="K25" s="87">
        <f t="shared" si="2"/>
        <v>0</v>
      </c>
      <c r="L25" s="152"/>
      <c r="M25" s="153"/>
    </row>
    <row r="26" spans="1:20" s="1" customFormat="1" ht="20.100000000000001" customHeight="1">
      <c r="A26" s="86">
        <v>15</v>
      </c>
      <c r="B26" s="151" t="s">
        <v>146</v>
      </c>
      <c r="C26" s="151"/>
      <c r="D26" s="151"/>
      <c r="E26" s="88" t="s">
        <v>140</v>
      </c>
      <c r="F26" s="83">
        <v>1250</v>
      </c>
      <c r="G26" s="83">
        <v>0</v>
      </c>
      <c r="H26" s="83">
        <v>0</v>
      </c>
      <c r="I26" s="83">
        <f t="shared" si="0"/>
        <v>0</v>
      </c>
      <c r="J26" s="83">
        <f t="shared" si="1"/>
        <v>1250</v>
      </c>
      <c r="K26" s="87">
        <f t="shared" si="2"/>
        <v>0</v>
      </c>
      <c r="L26" s="152"/>
      <c r="M26" s="153"/>
    </row>
    <row r="27" spans="1:20" s="1" customFormat="1" ht="20.100000000000001" customHeight="1">
      <c r="A27" s="86">
        <v>16</v>
      </c>
      <c r="B27" s="151" t="s">
        <v>145</v>
      </c>
      <c r="C27" s="151"/>
      <c r="D27" s="151"/>
      <c r="E27" s="88" t="s">
        <v>140</v>
      </c>
      <c r="F27" s="83">
        <v>0</v>
      </c>
      <c r="G27" s="83">
        <v>0</v>
      </c>
      <c r="H27" s="83">
        <v>0</v>
      </c>
      <c r="I27" s="83">
        <f t="shared" si="0"/>
        <v>0</v>
      </c>
      <c r="J27" s="83">
        <f t="shared" si="1"/>
        <v>0</v>
      </c>
      <c r="K27" s="87" t="e">
        <f t="shared" si="2"/>
        <v>#DIV/0!</v>
      </c>
      <c r="L27" s="152"/>
      <c r="M27" s="153"/>
    </row>
    <row r="28" spans="1:20" s="1" customFormat="1" ht="20.100000000000001" customHeight="1">
      <c r="A28" s="86">
        <v>17</v>
      </c>
      <c r="B28" s="151" t="s">
        <v>144</v>
      </c>
      <c r="C28" s="151"/>
      <c r="D28" s="151"/>
      <c r="E28" s="88" t="s">
        <v>140</v>
      </c>
      <c r="F28" s="83">
        <v>0</v>
      </c>
      <c r="G28" s="83">
        <v>0</v>
      </c>
      <c r="H28" s="83">
        <v>0</v>
      </c>
      <c r="I28" s="83">
        <f t="shared" si="0"/>
        <v>0</v>
      </c>
      <c r="J28" s="83">
        <f t="shared" si="1"/>
        <v>0</v>
      </c>
      <c r="K28" s="87" t="e">
        <f t="shared" si="2"/>
        <v>#DIV/0!</v>
      </c>
      <c r="L28" s="152"/>
      <c r="M28" s="153"/>
    </row>
    <row r="29" spans="1:20" s="1" customFormat="1" ht="20.100000000000001" customHeight="1">
      <c r="A29" s="86">
        <v>18</v>
      </c>
      <c r="B29" s="151" t="s">
        <v>143</v>
      </c>
      <c r="C29" s="151"/>
      <c r="D29" s="151"/>
      <c r="E29" s="88" t="s">
        <v>140</v>
      </c>
      <c r="F29" s="83">
        <v>100</v>
      </c>
      <c r="G29" s="83">
        <v>0</v>
      </c>
      <c r="H29" s="83">
        <v>0</v>
      </c>
      <c r="I29" s="83">
        <f t="shared" si="0"/>
        <v>0</v>
      </c>
      <c r="J29" s="83">
        <f t="shared" si="1"/>
        <v>100</v>
      </c>
      <c r="K29" s="87">
        <f t="shared" si="2"/>
        <v>0</v>
      </c>
      <c r="L29" s="157"/>
      <c r="M29" s="158"/>
    </row>
    <row r="30" spans="1:20" s="1" customFormat="1" ht="20.100000000000001" customHeight="1">
      <c r="A30" s="86">
        <v>19</v>
      </c>
      <c r="B30" s="151" t="s">
        <v>142</v>
      </c>
      <c r="C30" s="151"/>
      <c r="D30" s="151"/>
      <c r="E30" s="88" t="s">
        <v>140</v>
      </c>
      <c r="F30" s="83">
        <v>0</v>
      </c>
      <c r="G30" s="83">
        <v>0</v>
      </c>
      <c r="H30" s="83">
        <v>0</v>
      </c>
      <c r="I30" s="83">
        <v>0</v>
      </c>
      <c r="J30" s="83">
        <f t="shared" si="1"/>
        <v>0</v>
      </c>
      <c r="K30" s="87" t="e">
        <f t="shared" si="2"/>
        <v>#DIV/0!</v>
      </c>
      <c r="L30" s="152"/>
      <c r="M30" s="153"/>
    </row>
    <row r="31" spans="1:20" s="1" customFormat="1" ht="20.100000000000001" customHeight="1">
      <c r="A31" s="86">
        <v>20</v>
      </c>
      <c r="B31" s="151" t="s">
        <v>141</v>
      </c>
      <c r="C31" s="151"/>
      <c r="D31" s="151"/>
      <c r="E31" s="88" t="s">
        <v>140</v>
      </c>
      <c r="F31" s="83">
        <v>40</v>
      </c>
      <c r="G31" s="83">
        <v>40</v>
      </c>
      <c r="H31" s="83">
        <v>0</v>
      </c>
      <c r="I31" s="83">
        <f t="shared" si="0"/>
        <v>40</v>
      </c>
      <c r="J31" s="83">
        <f t="shared" si="1"/>
        <v>0</v>
      </c>
      <c r="K31" s="87">
        <f t="shared" si="2"/>
        <v>1</v>
      </c>
      <c r="L31" s="152"/>
      <c r="M31" s="153"/>
    </row>
    <row r="32" spans="1:20" s="1" customFormat="1" ht="20.100000000000001" customHeight="1">
      <c r="A32" s="86">
        <v>21</v>
      </c>
      <c r="B32" s="151" t="s">
        <v>139</v>
      </c>
      <c r="C32" s="151"/>
      <c r="D32" s="151"/>
      <c r="E32" s="88" t="s">
        <v>138</v>
      </c>
      <c r="F32" s="83">
        <v>150</v>
      </c>
      <c r="G32" s="83">
        <v>2.8</v>
      </c>
      <c r="H32" s="83">
        <v>0</v>
      </c>
      <c r="I32" s="83">
        <f>H32+G32</f>
        <v>2.8</v>
      </c>
      <c r="J32" s="83">
        <f t="shared" si="1"/>
        <v>147.19999999999999</v>
      </c>
      <c r="K32" s="87">
        <f t="shared" si="2"/>
        <v>1.8666666666666668E-2</v>
      </c>
      <c r="L32" s="152"/>
      <c r="M32" s="153"/>
    </row>
    <row r="33" spans="1:13" s="1" customFormat="1" ht="20.100000000000001" customHeight="1">
      <c r="A33" s="86">
        <v>22</v>
      </c>
      <c r="B33" s="151"/>
      <c r="C33" s="151"/>
      <c r="D33" s="151"/>
      <c r="E33" s="88"/>
      <c r="F33" s="83"/>
      <c r="G33" s="83"/>
      <c r="H33" s="83"/>
      <c r="I33" s="83"/>
      <c r="J33" s="83"/>
      <c r="K33" s="87"/>
      <c r="L33" s="152"/>
      <c r="M33" s="153"/>
    </row>
    <row r="34" spans="1:13" s="1" customFormat="1" ht="20.100000000000001" customHeight="1">
      <c r="A34" s="86">
        <v>23</v>
      </c>
      <c r="B34" s="151"/>
      <c r="C34" s="151"/>
      <c r="D34" s="151"/>
      <c r="E34" s="88"/>
      <c r="F34" s="83"/>
      <c r="G34" s="83"/>
      <c r="H34" s="83"/>
      <c r="I34" s="83"/>
      <c r="J34" s="83"/>
      <c r="K34" s="87"/>
      <c r="L34" s="152"/>
      <c r="M34" s="153"/>
    </row>
    <row r="35" spans="1:13" s="1" customFormat="1" ht="20.100000000000001" customHeight="1">
      <c r="A35" s="86">
        <v>24</v>
      </c>
      <c r="B35" s="151"/>
      <c r="C35" s="151"/>
      <c r="D35" s="151"/>
      <c r="E35" s="88"/>
      <c r="F35" s="83"/>
      <c r="G35" s="83"/>
      <c r="H35" s="83"/>
      <c r="I35" s="83"/>
      <c r="J35" s="83"/>
      <c r="K35" s="87"/>
      <c r="L35" s="152"/>
      <c r="M35" s="153"/>
    </row>
    <row r="36" spans="1:13" s="1" customFormat="1" ht="20.100000000000001" customHeight="1">
      <c r="A36" s="86">
        <v>25</v>
      </c>
      <c r="B36" s="151"/>
      <c r="C36" s="151"/>
      <c r="D36" s="151"/>
      <c r="E36" s="88"/>
      <c r="F36" s="83"/>
      <c r="G36" s="83"/>
      <c r="H36" s="83"/>
      <c r="I36" s="83"/>
      <c r="J36" s="83"/>
      <c r="K36" s="87"/>
      <c r="L36" s="152"/>
      <c r="M36" s="153"/>
    </row>
    <row r="37" spans="1:13" s="1" customFormat="1" ht="20.100000000000001" customHeight="1" thickBot="1">
      <c r="A37" s="86">
        <v>26</v>
      </c>
      <c r="B37" s="154"/>
      <c r="C37" s="154"/>
      <c r="D37" s="154"/>
      <c r="E37" s="85"/>
      <c r="F37" s="84"/>
      <c r="G37" s="84"/>
      <c r="H37" s="84"/>
      <c r="I37" s="84"/>
      <c r="J37" s="83"/>
      <c r="K37" s="82"/>
      <c r="L37" s="155"/>
      <c r="M37" s="156"/>
    </row>
    <row r="38" spans="1:13" s="1" customFormat="1" ht="16.5">
      <c r="A38" s="141" t="s">
        <v>23</v>
      </c>
      <c r="B38" s="143" t="s">
        <v>137</v>
      </c>
      <c r="C38" s="143"/>
      <c r="D38" s="143"/>
      <c r="E38" s="145" t="s">
        <v>136</v>
      </c>
      <c r="F38" s="145" t="s">
        <v>135</v>
      </c>
      <c r="G38" s="147" t="s">
        <v>134</v>
      </c>
      <c r="H38" s="147"/>
      <c r="I38" s="147"/>
      <c r="J38" s="147" t="s">
        <v>133</v>
      </c>
      <c r="K38" s="147"/>
      <c r="L38" s="147"/>
      <c r="M38" s="148" t="s">
        <v>16</v>
      </c>
    </row>
    <row r="39" spans="1:13" s="1" customFormat="1" ht="33.75" thickBot="1">
      <c r="A39" s="142"/>
      <c r="B39" s="144"/>
      <c r="C39" s="144"/>
      <c r="D39" s="144"/>
      <c r="E39" s="146"/>
      <c r="F39" s="146"/>
      <c r="G39" s="81" t="s">
        <v>132</v>
      </c>
      <c r="H39" s="81" t="s">
        <v>19</v>
      </c>
      <c r="I39" s="81" t="s">
        <v>70</v>
      </c>
      <c r="J39" s="81" t="s">
        <v>132</v>
      </c>
      <c r="K39" s="81" t="s">
        <v>19</v>
      </c>
      <c r="L39" s="81" t="s">
        <v>70</v>
      </c>
      <c r="M39" s="149"/>
    </row>
    <row r="40" spans="1:13" s="22" customFormat="1" ht="16.5">
      <c r="A40" s="80">
        <v>1</v>
      </c>
      <c r="B40" s="150" t="s">
        <v>131</v>
      </c>
      <c r="C40" s="150"/>
      <c r="D40" s="150"/>
      <c r="E40" s="79" t="s">
        <v>112</v>
      </c>
      <c r="F40" s="60">
        <f>0.5+1+1.5</f>
        <v>3</v>
      </c>
      <c r="G40" s="78">
        <v>3</v>
      </c>
      <c r="H40" s="78">
        <v>0</v>
      </c>
      <c r="I40" s="78">
        <f t="shared" ref="I40:I47" si="3">H40+G40</f>
        <v>3</v>
      </c>
      <c r="J40" s="77"/>
      <c r="K40" s="76"/>
      <c r="L40" s="75"/>
      <c r="M40" s="74"/>
    </row>
    <row r="41" spans="1:13" s="22" customFormat="1" ht="16.5">
      <c r="A41" s="68">
        <v>2</v>
      </c>
      <c r="B41" s="140" t="s">
        <v>130</v>
      </c>
      <c r="C41" s="140"/>
      <c r="D41" s="140"/>
      <c r="E41" s="67" t="s">
        <v>112</v>
      </c>
      <c r="F41" s="71"/>
      <c r="G41" s="61"/>
      <c r="H41" s="60">
        <v>0</v>
      </c>
      <c r="I41" s="61">
        <f t="shared" si="3"/>
        <v>0</v>
      </c>
      <c r="J41" s="66"/>
      <c r="K41" s="73"/>
      <c r="L41" s="65"/>
      <c r="M41" s="64"/>
    </row>
    <row r="42" spans="1:13" s="22" customFormat="1" ht="16.5">
      <c r="A42" s="68"/>
      <c r="B42" s="140" t="s">
        <v>129</v>
      </c>
      <c r="C42" s="140"/>
      <c r="D42" s="140"/>
      <c r="E42" s="67" t="s">
        <v>112</v>
      </c>
      <c r="F42" s="71"/>
      <c r="G42" s="61"/>
      <c r="H42" s="60">
        <v>0</v>
      </c>
      <c r="I42" s="61">
        <f t="shared" si="3"/>
        <v>0</v>
      </c>
      <c r="J42" s="66"/>
      <c r="K42" s="72"/>
      <c r="L42" s="65"/>
      <c r="M42" s="64"/>
    </row>
    <row r="43" spans="1:13" s="22" customFormat="1" ht="16.5">
      <c r="A43" s="68">
        <v>3</v>
      </c>
      <c r="B43" s="140" t="s">
        <v>128</v>
      </c>
      <c r="C43" s="140"/>
      <c r="D43" s="140"/>
      <c r="E43" s="67" t="s">
        <v>112</v>
      </c>
      <c r="F43" s="60"/>
      <c r="G43" s="61"/>
      <c r="H43" s="60">
        <v>0</v>
      </c>
      <c r="I43" s="61">
        <f t="shared" si="3"/>
        <v>0</v>
      </c>
      <c r="J43" s="66"/>
      <c r="K43" s="72"/>
      <c r="L43" s="65"/>
      <c r="M43" s="64"/>
    </row>
    <row r="44" spans="1:13" s="22" customFormat="1" ht="16.5">
      <c r="A44" s="68"/>
      <c r="B44" s="131" t="s">
        <v>127</v>
      </c>
      <c r="C44" s="131"/>
      <c r="D44" s="131"/>
      <c r="E44" s="67" t="s">
        <v>112</v>
      </c>
      <c r="F44" s="60">
        <f>300+300+200+500+500+200+200+500+500+300+200+200+200+200+200+200+200+200+100+200+150</f>
        <v>5550</v>
      </c>
      <c r="G44" s="61">
        <v>4189.42</v>
      </c>
      <c r="H44" s="60">
        <v>0</v>
      </c>
      <c r="I44" s="61">
        <f t="shared" si="3"/>
        <v>4189.42</v>
      </c>
      <c r="J44" s="66"/>
      <c r="K44" s="72"/>
      <c r="L44" s="65"/>
      <c r="M44" s="64"/>
    </row>
    <row r="45" spans="1:13" s="22" customFormat="1" ht="16.5">
      <c r="A45" s="68"/>
      <c r="B45" s="131" t="s">
        <v>126</v>
      </c>
      <c r="C45" s="131"/>
      <c r="D45" s="131"/>
      <c r="E45" s="67" t="s">
        <v>112</v>
      </c>
      <c r="F45" s="60"/>
      <c r="G45" s="61"/>
      <c r="H45" s="60">
        <v>0</v>
      </c>
      <c r="I45" s="61">
        <f t="shared" si="3"/>
        <v>0</v>
      </c>
      <c r="J45" s="66"/>
      <c r="K45" s="72"/>
      <c r="L45" s="65"/>
      <c r="M45" s="64"/>
    </row>
    <row r="46" spans="1:13" s="22" customFormat="1" ht="16.5">
      <c r="A46" s="68">
        <v>4</v>
      </c>
      <c r="B46" s="140" t="s">
        <v>125</v>
      </c>
      <c r="C46" s="140"/>
      <c r="D46" s="140"/>
      <c r="E46" s="67" t="s">
        <v>124</v>
      </c>
      <c r="F46" s="71"/>
      <c r="G46" s="61">
        <v>1050</v>
      </c>
      <c r="H46" s="60">
        <v>0</v>
      </c>
      <c r="I46" s="61">
        <f t="shared" si="3"/>
        <v>1050</v>
      </c>
      <c r="J46" s="66"/>
      <c r="K46" s="69"/>
      <c r="L46" s="65"/>
      <c r="M46" s="64"/>
    </row>
    <row r="47" spans="1:13" s="22" customFormat="1" ht="16.5">
      <c r="A47" s="68">
        <v>5</v>
      </c>
      <c r="B47" s="140" t="s">
        <v>123</v>
      </c>
      <c r="C47" s="140"/>
      <c r="D47" s="140"/>
      <c r="E47" s="67" t="s">
        <v>112</v>
      </c>
      <c r="F47" s="71"/>
      <c r="G47" s="61"/>
      <c r="H47" s="60">
        <v>0</v>
      </c>
      <c r="I47" s="61">
        <f t="shared" si="3"/>
        <v>0</v>
      </c>
      <c r="J47" s="66"/>
      <c r="K47" s="69"/>
      <c r="L47" s="65"/>
      <c r="M47" s="64"/>
    </row>
    <row r="48" spans="1:13" s="22" customFormat="1" ht="16.5">
      <c r="A48" s="68">
        <v>6</v>
      </c>
      <c r="B48" s="140" t="s">
        <v>122</v>
      </c>
      <c r="C48" s="140"/>
      <c r="D48" s="140"/>
      <c r="E48" s="67"/>
      <c r="F48" s="71"/>
      <c r="G48" s="61"/>
      <c r="H48" s="70"/>
      <c r="I48" s="61"/>
      <c r="J48" s="66"/>
      <c r="K48" s="69"/>
      <c r="L48" s="65"/>
      <c r="M48" s="64"/>
    </row>
    <row r="49" spans="1:13" s="22" customFormat="1" ht="16.5">
      <c r="A49" s="68"/>
      <c r="B49" s="131" t="s">
        <v>121</v>
      </c>
      <c r="C49" s="131"/>
      <c r="D49" s="131"/>
      <c r="E49" s="67" t="s">
        <v>112</v>
      </c>
      <c r="F49" s="60">
        <f>8.16+12.481</f>
        <v>20.640999999999998</v>
      </c>
      <c r="G49" s="61">
        <v>18.45</v>
      </c>
      <c r="H49" s="60">
        <v>0</v>
      </c>
      <c r="I49" s="61">
        <f t="shared" ref="I49:I55" si="4">H49+G49</f>
        <v>18.45</v>
      </c>
      <c r="J49" s="66"/>
      <c r="K49" s="65"/>
      <c r="L49" s="65"/>
      <c r="M49" s="64"/>
    </row>
    <row r="50" spans="1:13" s="22" customFormat="1" ht="16.5">
      <c r="A50" s="68"/>
      <c r="B50" s="131" t="s">
        <v>120</v>
      </c>
      <c r="C50" s="131"/>
      <c r="D50" s="131"/>
      <c r="E50" s="67" t="s">
        <v>112</v>
      </c>
      <c r="F50" s="60">
        <f>12.304+10+14.2+11.35+24</f>
        <v>71.854000000000013</v>
      </c>
      <c r="G50" s="61">
        <v>55.32</v>
      </c>
      <c r="H50" s="60">
        <v>0</v>
      </c>
      <c r="I50" s="61">
        <f t="shared" si="4"/>
        <v>55.32</v>
      </c>
      <c r="J50" s="66"/>
      <c r="K50" s="65"/>
      <c r="L50" s="65"/>
      <c r="M50" s="64"/>
    </row>
    <row r="51" spans="1:13" s="22" customFormat="1" ht="16.5">
      <c r="A51" s="68"/>
      <c r="B51" s="131" t="s">
        <v>119</v>
      </c>
      <c r="C51" s="131"/>
      <c r="D51" s="131"/>
      <c r="E51" s="67" t="s">
        <v>112</v>
      </c>
      <c r="F51" s="60">
        <f>25+47.285+3</f>
        <v>75.284999999999997</v>
      </c>
      <c r="G51" s="61">
        <v>81.87</v>
      </c>
      <c r="H51" s="60">
        <v>0</v>
      </c>
      <c r="I51" s="61">
        <f t="shared" si="4"/>
        <v>81.87</v>
      </c>
      <c r="J51" s="66"/>
      <c r="K51" s="65"/>
      <c r="L51" s="65"/>
      <c r="M51" s="64"/>
    </row>
    <row r="52" spans="1:13" s="22" customFormat="1" ht="44.25" customHeight="1">
      <c r="A52" s="68"/>
      <c r="B52" s="131" t="s">
        <v>118</v>
      </c>
      <c r="C52" s="131"/>
      <c r="D52" s="131"/>
      <c r="E52" s="67" t="s">
        <v>112</v>
      </c>
      <c r="F52" s="60">
        <f>30.82+5.78+44.085+35.498+23.32</f>
        <v>139.50299999999999</v>
      </c>
      <c r="G52" s="61">
        <f>18.33+18.35+15.93+18.16-12.15+20.14+20.65+16.7</f>
        <v>116.11</v>
      </c>
      <c r="H52" s="60">
        <v>0</v>
      </c>
      <c r="I52" s="61">
        <f t="shared" si="4"/>
        <v>116.11</v>
      </c>
      <c r="J52" s="66"/>
      <c r="K52" s="65"/>
      <c r="L52" s="65"/>
      <c r="M52" s="64" t="s">
        <v>117</v>
      </c>
    </row>
    <row r="53" spans="1:13" s="22" customFormat="1" ht="16.5">
      <c r="A53" s="68"/>
      <c r="B53" s="131" t="s">
        <v>116</v>
      </c>
      <c r="C53" s="131"/>
      <c r="D53" s="131"/>
      <c r="E53" s="67" t="s">
        <v>112</v>
      </c>
      <c r="F53" s="60">
        <f>30+30.82</f>
        <v>60.82</v>
      </c>
      <c r="G53" s="61">
        <v>55.37</v>
      </c>
      <c r="H53" s="60">
        <v>0</v>
      </c>
      <c r="I53" s="61">
        <f t="shared" si="4"/>
        <v>55.37</v>
      </c>
      <c r="J53" s="66"/>
      <c r="K53" s="65"/>
      <c r="L53" s="65"/>
      <c r="M53" s="64"/>
    </row>
    <row r="54" spans="1:13" s="22" customFormat="1" ht="40.5">
      <c r="A54" s="68"/>
      <c r="B54" s="131" t="s">
        <v>115</v>
      </c>
      <c r="C54" s="131"/>
      <c r="D54" s="131"/>
      <c r="E54" s="67" t="s">
        <v>112</v>
      </c>
      <c r="F54" s="60">
        <v>0.5</v>
      </c>
      <c r="G54" s="61">
        <v>0.46200000000000002</v>
      </c>
      <c r="H54" s="60">
        <v>0</v>
      </c>
      <c r="I54" s="61">
        <f t="shared" si="4"/>
        <v>0.46200000000000002</v>
      </c>
      <c r="J54" s="66"/>
      <c r="K54" s="65"/>
      <c r="L54" s="65"/>
      <c r="M54" s="64" t="s">
        <v>114</v>
      </c>
    </row>
    <row r="55" spans="1:13" s="22" customFormat="1" ht="17.25" thickBot="1">
      <c r="A55" s="63"/>
      <c r="B55" s="132" t="s">
        <v>113</v>
      </c>
      <c r="C55" s="132"/>
      <c r="D55" s="132"/>
      <c r="E55" s="62" t="s">
        <v>112</v>
      </c>
      <c r="F55" s="60">
        <v>0</v>
      </c>
      <c r="G55" s="61">
        <v>0</v>
      </c>
      <c r="H55" s="60">
        <v>0</v>
      </c>
      <c r="I55" s="59">
        <f t="shared" si="4"/>
        <v>0</v>
      </c>
      <c r="J55" s="58"/>
      <c r="K55" s="58"/>
      <c r="L55" s="57"/>
      <c r="M55" s="56"/>
    </row>
    <row r="56" spans="1:13" s="1" customFormat="1" ht="24.95" customHeight="1" thickBot="1">
      <c r="A56" s="47" t="s">
        <v>111</v>
      </c>
      <c r="B56" s="133" t="s">
        <v>110</v>
      </c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M56" s="135"/>
    </row>
    <row r="57" spans="1:13" s="1" customFormat="1" ht="22.5" customHeight="1">
      <c r="A57" s="43" t="s">
        <v>12</v>
      </c>
      <c r="B57" s="55" t="s">
        <v>109</v>
      </c>
      <c r="C57" s="42" t="s">
        <v>108</v>
      </c>
      <c r="D57" s="42" t="s">
        <v>107</v>
      </c>
      <c r="E57" s="42" t="s">
        <v>106</v>
      </c>
      <c r="F57" s="54" t="s">
        <v>105</v>
      </c>
      <c r="G57" s="54" t="s">
        <v>104</v>
      </c>
      <c r="H57" s="53" t="s">
        <v>103</v>
      </c>
      <c r="I57" s="50" t="s">
        <v>102</v>
      </c>
      <c r="J57" s="52" t="s">
        <v>101</v>
      </c>
      <c r="K57" s="51"/>
      <c r="L57" s="50"/>
      <c r="M57" s="40" t="s">
        <v>70</v>
      </c>
    </row>
    <row r="58" spans="1:13" s="1" customFormat="1" ht="33.75" thickBot="1">
      <c r="A58" s="46" t="s">
        <v>88</v>
      </c>
      <c r="B58" s="38">
        <v>3</v>
      </c>
      <c r="C58" s="38">
        <v>3</v>
      </c>
      <c r="D58" s="38">
        <v>8</v>
      </c>
      <c r="E58" s="38">
        <v>3</v>
      </c>
      <c r="F58" s="38"/>
      <c r="G58" s="38"/>
      <c r="H58" s="38"/>
      <c r="I58" s="38">
        <v>17</v>
      </c>
      <c r="J58" s="38">
        <v>4</v>
      </c>
      <c r="K58" s="49"/>
      <c r="L58" s="48"/>
      <c r="M58" s="45">
        <f>L58+K58+J58+I58+H58+G58+F58+E58+D58+C58+B58</f>
        <v>38</v>
      </c>
    </row>
    <row r="59" spans="1:13" s="1" customFormat="1" ht="24.95" customHeight="1" thickBot="1">
      <c r="A59" s="47" t="s">
        <v>100</v>
      </c>
      <c r="B59" s="133" t="s">
        <v>99</v>
      </c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5"/>
    </row>
    <row r="60" spans="1:13" s="1" customFormat="1" ht="49.5">
      <c r="A60" s="43" t="s">
        <v>12</v>
      </c>
      <c r="B60" s="42" t="s">
        <v>98</v>
      </c>
      <c r="C60" s="42" t="s">
        <v>97</v>
      </c>
      <c r="D60" s="42" t="s">
        <v>96</v>
      </c>
      <c r="E60" s="42" t="s">
        <v>95</v>
      </c>
      <c r="F60" s="42" t="s">
        <v>94</v>
      </c>
      <c r="G60" s="42" t="s">
        <v>93</v>
      </c>
      <c r="H60" s="42" t="s">
        <v>92</v>
      </c>
      <c r="I60" s="42" t="s">
        <v>91</v>
      </c>
      <c r="J60" s="42" t="s">
        <v>90</v>
      </c>
      <c r="K60" s="136" t="s">
        <v>89</v>
      </c>
      <c r="L60" s="137"/>
      <c r="M60" s="40" t="s">
        <v>70</v>
      </c>
    </row>
    <row r="61" spans="1:13" s="1" customFormat="1" ht="33.75" thickBot="1">
      <c r="A61" s="46" t="s">
        <v>88</v>
      </c>
      <c r="B61" s="38">
        <v>1</v>
      </c>
      <c r="C61" s="38">
        <v>1</v>
      </c>
      <c r="D61" s="38">
        <v>1</v>
      </c>
      <c r="E61" s="38">
        <v>1</v>
      </c>
      <c r="F61" s="38"/>
      <c r="G61" s="38">
        <v>2</v>
      </c>
      <c r="H61" s="38">
        <v>1</v>
      </c>
      <c r="I61" s="38">
        <v>2</v>
      </c>
      <c r="J61" s="38">
        <v>1</v>
      </c>
      <c r="K61" s="138"/>
      <c r="L61" s="139"/>
      <c r="M61" s="45">
        <f>L61+K61+J61+I61+H61+G61+F61+E61+D61+C61+B61</f>
        <v>10</v>
      </c>
    </row>
    <row r="62" spans="1:13" s="1" customFormat="1" ht="24.95" customHeight="1" thickBot="1">
      <c r="A62" s="44" t="s">
        <v>87</v>
      </c>
      <c r="B62" s="110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2"/>
    </row>
    <row r="63" spans="1:13" s="1" customFormat="1" ht="49.5">
      <c r="A63" s="43" t="s">
        <v>86</v>
      </c>
      <c r="B63" s="42" t="s">
        <v>85</v>
      </c>
      <c r="C63" s="42" t="s">
        <v>84</v>
      </c>
      <c r="D63" s="42" t="s">
        <v>83</v>
      </c>
      <c r="E63" s="42" t="s">
        <v>82</v>
      </c>
      <c r="F63" s="42" t="s">
        <v>81</v>
      </c>
      <c r="G63" s="42" t="s">
        <v>80</v>
      </c>
      <c r="H63" s="42" t="s">
        <v>79</v>
      </c>
      <c r="I63" s="42" t="s">
        <v>78</v>
      </c>
      <c r="J63" s="42" t="s">
        <v>77</v>
      </c>
      <c r="K63" s="42" t="s">
        <v>76</v>
      </c>
      <c r="L63" s="41" t="s">
        <v>75</v>
      </c>
      <c r="M63" s="40" t="s">
        <v>74</v>
      </c>
    </row>
    <row r="64" spans="1:13" s="1" customFormat="1" ht="33.75" thickBot="1">
      <c r="A64" s="39" t="s">
        <v>73</v>
      </c>
      <c r="B64" s="38">
        <v>1</v>
      </c>
      <c r="C64" s="38">
        <v>1</v>
      </c>
      <c r="D64" s="38">
        <v>1</v>
      </c>
      <c r="E64" s="38">
        <v>1</v>
      </c>
      <c r="F64" s="38">
        <v>1</v>
      </c>
      <c r="G64" s="38">
        <v>2</v>
      </c>
      <c r="H64" s="38">
        <v>3</v>
      </c>
      <c r="I64" s="38">
        <v>2</v>
      </c>
      <c r="J64" s="38"/>
      <c r="K64" s="38">
        <v>4</v>
      </c>
      <c r="L64" s="37">
        <v>1</v>
      </c>
      <c r="M64" s="36" t="s">
        <v>193</v>
      </c>
    </row>
    <row r="65" spans="1:20" s="1" customFormat="1" ht="24.95" customHeight="1" thickBot="1">
      <c r="A65" s="32" t="s">
        <v>26</v>
      </c>
      <c r="B65" s="110" t="s">
        <v>72</v>
      </c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2"/>
    </row>
    <row r="66" spans="1:20" s="1" customFormat="1" ht="15" customHeight="1">
      <c r="A66" s="35">
        <v>1</v>
      </c>
      <c r="B66" s="113"/>
      <c r="C66" s="113"/>
      <c r="D66" s="113"/>
      <c r="E66" s="113"/>
      <c r="F66" s="113"/>
      <c r="G66" s="113"/>
      <c r="H66" s="113"/>
      <c r="I66" s="113"/>
      <c r="J66" s="113"/>
      <c r="K66" s="113"/>
      <c r="L66" s="113"/>
      <c r="M66" s="114"/>
    </row>
    <row r="67" spans="1:20" s="1" customFormat="1" ht="15" customHeight="1">
      <c r="A67" s="35">
        <v>2</v>
      </c>
      <c r="B67" s="124"/>
      <c r="C67" s="113"/>
      <c r="D67" s="113"/>
      <c r="E67" s="113"/>
      <c r="F67" s="113"/>
      <c r="G67" s="113"/>
      <c r="H67" s="113"/>
      <c r="I67" s="113"/>
      <c r="J67" s="113"/>
      <c r="K67" s="113"/>
      <c r="L67" s="113"/>
      <c r="M67" s="114"/>
    </row>
    <row r="68" spans="1:20" s="1" customFormat="1" ht="15" customHeight="1">
      <c r="A68" s="35">
        <v>3</v>
      </c>
      <c r="B68" s="124"/>
      <c r="C68" s="113"/>
      <c r="D68" s="113"/>
      <c r="E68" s="113"/>
      <c r="F68" s="113"/>
      <c r="G68" s="113"/>
      <c r="H68" s="113"/>
      <c r="I68" s="113"/>
      <c r="J68" s="113"/>
      <c r="K68" s="113"/>
      <c r="L68" s="113"/>
      <c r="M68" s="114"/>
    </row>
    <row r="69" spans="1:20" s="1" customFormat="1" ht="15" customHeight="1" thickBot="1">
      <c r="A69" s="35">
        <v>4</v>
      </c>
      <c r="B69" s="124"/>
      <c r="C69" s="113"/>
      <c r="D69" s="113"/>
      <c r="E69" s="113"/>
      <c r="F69" s="113"/>
      <c r="G69" s="113"/>
      <c r="H69" s="113"/>
      <c r="I69" s="113"/>
      <c r="J69" s="113"/>
      <c r="K69" s="113"/>
      <c r="L69" s="113"/>
      <c r="M69" s="114"/>
    </row>
    <row r="70" spans="1:20" s="1" customFormat="1" ht="24.95" customHeight="1" thickBot="1">
      <c r="A70" s="34" t="s">
        <v>27</v>
      </c>
      <c r="B70" s="125" t="s">
        <v>71</v>
      </c>
      <c r="C70" s="126"/>
      <c r="D70" s="126"/>
      <c r="E70" s="126"/>
      <c r="F70" s="126"/>
      <c r="G70" s="126"/>
      <c r="H70" s="126"/>
      <c r="I70" s="126"/>
      <c r="J70" s="126"/>
      <c r="K70" s="126"/>
      <c r="L70" s="126"/>
      <c r="M70" s="127"/>
    </row>
    <row r="71" spans="1:20" s="1" customFormat="1" ht="15" customHeight="1">
      <c r="A71" s="33">
        <v>1</v>
      </c>
      <c r="B71" s="128" t="s">
        <v>171</v>
      </c>
      <c r="C71" s="129"/>
      <c r="D71" s="129"/>
      <c r="E71" s="129"/>
      <c r="F71" s="129"/>
      <c r="G71" s="129"/>
      <c r="H71" s="129"/>
      <c r="I71" s="129"/>
      <c r="J71" s="129"/>
      <c r="K71" s="129"/>
      <c r="L71" s="129"/>
      <c r="M71" s="130"/>
    </row>
    <row r="72" spans="1:20" s="1" customFormat="1" ht="15" customHeight="1">
      <c r="A72" s="33">
        <v>2</v>
      </c>
      <c r="B72" s="128" t="s">
        <v>192</v>
      </c>
      <c r="C72" s="129"/>
      <c r="D72" s="129"/>
      <c r="E72" s="129"/>
      <c r="F72" s="129"/>
      <c r="G72" s="129"/>
      <c r="H72" s="129"/>
      <c r="I72" s="129"/>
      <c r="J72" s="129"/>
      <c r="K72" s="129"/>
      <c r="L72" s="129"/>
      <c r="M72" s="130"/>
    </row>
    <row r="73" spans="1:20" s="1" customFormat="1" ht="15" customHeight="1" thickBot="1">
      <c r="A73" s="33">
        <v>3</v>
      </c>
      <c r="B73" s="128" t="s">
        <v>197</v>
      </c>
      <c r="C73" s="129"/>
      <c r="D73" s="129"/>
      <c r="E73" s="129"/>
      <c r="F73" s="129"/>
      <c r="G73" s="129"/>
      <c r="H73" s="129"/>
      <c r="I73" s="129"/>
      <c r="J73" s="129"/>
      <c r="K73" s="129"/>
      <c r="L73" s="129"/>
      <c r="M73" s="130"/>
    </row>
    <row r="74" spans="1:20" s="1" customFormat="1" ht="24.95" customHeight="1" thickBot="1">
      <c r="A74" s="32" t="s">
        <v>28</v>
      </c>
      <c r="B74" s="115"/>
      <c r="C74" s="116"/>
      <c r="D74" s="116"/>
      <c r="E74" s="116"/>
      <c r="F74" s="116"/>
      <c r="G74" s="116"/>
      <c r="H74" s="116"/>
      <c r="I74" s="116"/>
      <c r="J74" s="116"/>
      <c r="K74" s="116"/>
      <c r="L74" s="116"/>
      <c r="M74" s="117"/>
    </row>
    <row r="75" spans="1:20" s="1" customFormat="1" ht="16.5">
      <c r="A75" s="31">
        <v>1</v>
      </c>
      <c r="B75" s="118"/>
      <c r="C75" s="119"/>
      <c r="D75" s="119"/>
      <c r="E75" s="119"/>
      <c r="F75" s="119"/>
      <c r="G75" s="119"/>
      <c r="H75" s="119"/>
      <c r="I75" s="119"/>
      <c r="J75" s="119"/>
      <c r="K75" s="119"/>
      <c r="L75" s="119"/>
      <c r="M75" s="120"/>
    </row>
    <row r="76" spans="1:20" s="1" customFormat="1" ht="17.25" thickBot="1">
      <c r="A76" s="30">
        <v>2</v>
      </c>
      <c r="B76" s="121"/>
      <c r="C76" s="122"/>
      <c r="D76" s="122"/>
      <c r="E76" s="122"/>
      <c r="F76" s="122"/>
      <c r="G76" s="122"/>
      <c r="H76" s="122"/>
      <c r="I76" s="122"/>
      <c r="J76" s="122"/>
      <c r="K76" s="122"/>
      <c r="L76" s="122"/>
      <c r="M76" s="123"/>
    </row>
    <row r="79" spans="1:20">
      <c r="E79" s="28"/>
      <c r="F79" s="28"/>
      <c r="G79" s="28"/>
      <c r="H79" s="28"/>
      <c r="N79" s="2"/>
      <c r="O79" s="2"/>
      <c r="P79" s="2"/>
      <c r="Q79" s="2"/>
      <c r="R79" s="2"/>
      <c r="S79" s="2"/>
      <c r="T79" s="2"/>
    </row>
    <row r="80" spans="1:20">
      <c r="E80" s="28"/>
      <c r="F80" s="28"/>
      <c r="G80" s="28"/>
      <c r="H80" s="28"/>
      <c r="N80" s="2"/>
      <c r="O80" s="2"/>
      <c r="P80" s="2"/>
      <c r="Q80" s="2"/>
      <c r="R80" s="2"/>
      <c r="S80" s="2"/>
      <c r="T80" s="2"/>
    </row>
    <row r="81" spans="5:20">
      <c r="E81" s="28"/>
      <c r="F81" s="28"/>
      <c r="G81" s="28"/>
      <c r="H81" s="28"/>
      <c r="N81" s="2"/>
      <c r="O81" s="2"/>
      <c r="P81" s="2"/>
      <c r="Q81" s="2"/>
      <c r="R81" s="2"/>
      <c r="S81" s="2"/>
      <c r="T81" s="2"/>
    </row>
    <row r="82" spans="5:20">
      <c r="E82" s="28"/>
      <c r="F82" s="28"/>
      <c r="G82" s="28"/>
      <c r="H82" s="28"/>
      <c r="J82" s="29"/>
      <c r="K82" s="1"/>
      <c r="N82" s="2"/>
      <c r="O82" s="2"/>
      <c r="P82" s="2"/>
      <c r="Q82" s="2"/>
      <c r="R82" s="2"/>
      <c r="S82" s="2"/>
      <c r="T82" s="2"/>
    </row>
    <row r="83" spans="5:20">
      <c r="E83" s="28"/>
      <c r="F83" s="28"/>
      <c r="G83" s="28"/>
      <c r="H83" s="28"/>
      <c r="K83" s="1"/>
      <c r="N83" s="2"/>
      <c r="O83" s="2"/>
      <c r="P83" s="2"/>
      <c r="Q83" s="2"/>
      <c r="R83" s="2"/>
      <c r="S83" s="2"/>
      <c r="T83" s="2"/>
    </row>
    <row r="84" spans="5:20">
      <c r="E84" s="28"/>
      <c r="F84" s="28"/>
      <c r="G84" s="28"/>
      <c r="H84" s="28"/>
      <c r="K84" s="1"/>
      <c r="N84" s="2"/>
      <c r="O84" s="2"/>
      <c r="P84" s="2"/>
      <c r="Q84" s="2"/>
      <c r="R84" s="2"/>
      <c r="S84" s="2"/>
      <c r="T84" s="2"/>
    </row>
    <row r="85" spans="5:20">
      <c r="E85" s="28"/>
      <c r="F85" s="28"/>
      <c r="G85" s="28"/>
      <c r="H85" s="28"/>
      <c r="N85" s="2"/>
      <c r="O85" s="2"/>
      <c r="P85" s="2"/>
      <c r="Q85" s="2"/>
      <c r="R85" s="2"/>
      <c r="S85" s="2"/>
      <c r="T85" s="2"/>
    </row>
    <row r="86" spans="5:20">
      <c r="E86" s="28"/>
      <c r="F86" s="28"/>
      <c r="G86" s="28"/>
      <c r="H86" s="28"/>
      <c r="N86" s="2"/>
      <c r="O86" s="2"/>
      <c r="P86" s="2"/>
      <c r="Q86" s="2"/>
      <c r="R86" s="2"/>
      <c r="S86" s="2"/>
      <c r="T86" s="2"/>
    </row>
    <row r="87" spans="5:20">
      <c r="E87" s="28"/>
      <c r="F87" s="28"/>
      <c r="G87" s="28"/>
      <c r="H87" s="28"/>
      <c r="N87" s="2"/>
      <c r="O87" s="2"/>
      <c r="P87" s="2"/>
      <c r="Q87" s="2"/>
      <c r="R87" s="2"/>
      <c r="S87" s="2"/>
      <c r="T87" s="2"/>
    </row>
    <row r="88" spans="5:20">
      <c r="E88" s="28"/>
      <c r="F88" s="28"/>
      <c r="G88" s="28"/>
      <c r="H88" s="28"/>
      <c r="N88" s="2"/>
      <c r="O88" s="2"/>
      <c r="P88" s="2"/>
      <c r="Q88" s="2"/>
      <c r="R88" s="2"/>
      <c r="S88" s="2"/>
      <c r="T88" s="2"/>
    </row>
    <row r="89" spans="5:20">
      <c r="E89" s="28"/>
      <c r="F89" s="28"/>
      <c r="G89" s="28"/>
      <c r="H89" s="28"/>
      <c r="N89" s="2"/>
      <c r="O89" s="2"/>
      <c r="P89" s="2"/>
      <c r="Q89" s="2"/>
      <c r="R89" s="2"/>
      <c r="S89" s="2"/>
      <c r="T89" s="2"/>
    </row>
    <row r="90" spans="5:20">
      <c r="E90" s="28"/>
      <c r="F90" s="28"/>
      <c r="G90" s="28"/>
      <c r="H90" s="28"/>
      <c r="N90" s="2"/>
      <c r="O90" s="2"/>
      <c r="P90" s="2"/>
      <c r="Q90" s="2"/>
      <c r="R90" s="2"/>
      <c r="S90" s="2"/>
      <c r="T90" s="2"/>
    </row>
    <row r="91" spans="5:20">
      <c r="E91" s="28"/>
      <c r="F91" s="28"/>
      <c r="G91" s="28"/>
      <c r="H91" s="28"/>
      <c r="N91" s="2"/>
      <c r="O91" s="2"/>
      <c r="P91" s="2"/>
      <c r="Q91" s="2"/>
      <c r="R91" s="2"/>
      <c r="S91" s="2"/>
      <c r="T91" s="2"/>
    </row>
    <row r="92" spans="5:20">
      <c r="E92" s="28"/>
      <c r="F92" s="28"/>
      <c r="G92" s="28"/>
      <c r="H92" s="28"/>
      <c r="N92" s="2"/>
      <c r="O92" s="2"/>
      <c r="P92" s="2"/>
      <c r="Q92" s="2"/>
      <c r="R92" s="2"/>
      <c r="S92" s="2"/>
      <c r="T92" s="2"/>
    </row>
    <row r="93" spans="5:20">
      <c r="E93" s="28"/>
      <c r="F93" s="28"/>
      <c r="G93" s="28"/>
      <c r="H93" s="28"/>
      <c r="N93" s="2"/>
      <c r="O93" s="2"/>
      <c r="P93" s="2"/>
      <c r="Q93" s="2"/>
      <c r="R93" s="2"/>
      <c r="S93" s="2"/>
      <c r="T93" s="2"/>
    </row>
    <row r="94" spans="5:20">
      <c r="E94" s="28"/>
      <c r="F94" s="28"/>
      <c r="G94" s="28"/>
      <c r="H94" s="28"/>
      <c r="N94" s="2"/>
      <c r="O94" s="2"/>
      <c r="P94" s="2"/>
      <c r="Q94" s="2"/>
      <c r="R94" s="2"/>
      <c r="S94" s="2"/>
      <c r="T94" s="2"/>
    </row>
    <row r="95" spans="5:20">
      <c r="E95" s="28"/>
      <c r="F95" s="28"/>
      <c r="G95" s="28"/>
      <c r="H95" s="28"/>
      <c r="N95" s="2"/>
      <c r="O95" s="2"/>
      <c r="P95" s="2"/>
      <c r="Q95" s="2"/>
      <c r="R95" s="2"/>
      <c r="S95" s="2"/>
      <c r="T95" s="2"/>
    </row>
    <row r="96" spans="5:20">
      <c r="E96" s="28"/>
      <c r="F96" s="28"/>
      <c r="G96" s="28"/>
      <c r="H96" s="28"/>
      <c r="N96" s="2"/>
      <c r="O96" s="2"/>
      <c r="P96" s="2"/>
      <c r="Q96" s="2"/>
      <c r="R96" s="2"/>
      <c r="S96" s="2"/>
      <c r="T96" s="2"/>
    </row>
  </sheetData>
  <mergeCells count="119">
    <mergeCell ref="A1:M1"/>
    <mergeCell ref="A2:B2"/>
    <mergeCell ref="C2:M2"/>
    <mergeCell ref="A3:B3"/>
    <mergeCell ref="C3:I3"/>
    <mergeCell ref="J3:K3"/>
    <mergeCell ref="L3:M3"/>
    <mergeCell ref="A4:B4"/>
    <mergeCell ref="C4:I4"/>
    <mergeCell ref="J4:K4"/>
    <mergeCell ref="L4:M4"/>
    <mergeCell ref="A5:A6"/>
    <mergeCell ref="B5:D6"/>
    <mergeCell ref="E5:E6"/>
    <mergeCell ref="F5:F6"/>
    <mergeCell ref="G5:I5"/>
    <mergeCell ref="J5:J6"/>
    <mergeCell ref="K5:K6"/>
    <mergeCell ref="L5:M6"/>
    <mergeCell ref="B7:M7"/>
    <mergeCell ref="B8:D8"/>
    <mergeCell ref="L8:M8"/>
    <mergeCell ref="B9:D9"/>
    <mergeCell ref="L9:M10"/>
    <mergeCell ref="B10:D10"/>
    <mergeCell ref="B11:D11"/>
    <mergeCell ref="L11:M11"/>
    <mergeCell ref="B12:D12"/>
    <mergeCell ref="L12:M12"/>
    <mergeCell ref="B13:D13"/>
    <mergeCell ref="L13:M13"/>
    <mergeCell ref="B14:D14"/>
    <mergeCell ref="L14:M14"/>
    <mergeCell ref="B15:D15"/>
    <mergeCell ref="L15:M15"/>
    <mergeCell ref="B16:D16"/>
    <mergeCell ref="L16:M16"/>
    <mergeCell ref="B17:D17"/>
    <mergeCell ref="L17:M17"/>
    <mergeCell ref="B18:D18"/>
    <mergeCell ref="L18:M18"/>
    <mergeCell ref="B19:D19"/>
    <mergeCell ref="L19:M19"/>
    <mergeCell ref="B20:D20"/>
    <mergeCell ref="L20:M20"/>
    <mergeCell ref="B21:D21"/>
    <mergeCell ref="L21:M21"/>
    <mergeCell ref="B22:D22"/>
    <mergeCell ref="L22:M22"/>
    <mergeCell ref="B23:D23"/>
    <mergeCell ref="L23:M23"/>
    <mergeCell ref="B24:D24"/>
    <mergeCell ref="L24:M24"/>
    <mergeCell ref="B25:D25"/>
    <mergeCell ref="L25:M25"/>
    <mergeCell ref="B26:D26"/>
    <mergeCell ref="L26:M26"/>
    <mergeCell ref="B27:D27"/>
    <mergeCell ref="L27:M27"/>
    <mergeCell ref="B28:D28"/>
    <mergeCell ref="L28:M28"/>
    <mergeCell ref="B29:D29"/>
    <mergeCell ref="L29:M29"/>
    <mergeCell ref="B30:D30"/>
    <mergeCell ref="L30:M30"/>
    <mergeCell ref="B31:D31"/>
    <mergeCell ref="L31:M31"/>
    <mergeCell ref="B32:D32"/>
    <mergeCell ref="L32:M32"/>
    <mergeCell ref="B33:D33"/>
    <mergeCell ref="L33:M33"/>
    <mergeCell ref="B34:D34"/>
    <mergeCell ref="L34:M34"/>
    <mergeCell ref="B35:D35"/>
    <mergeCell ref="L35:M35"/>
    <mergeCell ref="B36:D36"/>
    <mergeCell ref="L36:M36"/>
    <mergeCell ref="B37:D37"/>
    <mergeCell ref="L37:M37"/>
    <mergeCell ref="A38:A39"/>
    <mergeCell ref="B38:D39"/>
    <mergeCell ref="E38:E39"/>
    <mergeCell ref="F38:F39"/>
    <mergeCell ref="G38:I38"/>
    <mergeCell ref="J38:L38"/>
    <mergeCell ref="M38:M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B55:D55"/>
    <mergeCell ref="B56:M56"/>
    <mergeCell ref="B59:M59"/>
    <mergeCell ref="K60:L60"/>
    <mergeCell ref="K61:L61"/>
    <mergeCell ref="B62:M62"/>
    <mergeCell ref="B65:M65"/>
    <mergeCell ref="B66:M66"/>
    <mergeCell ref="B74:M74"/>
    <mergeCell ref="B75:M75"/>
    <mergeCell ref="B76:M76"/>
    <mergeCell ref="B67:M67"/>
    <mergeCell ref="B68:M68"/>
    <mergeCell ref="B69:M69"/>
    <mergeCell ref="B70:M70"/>
    <mergeCell ref="B71:M71"/>
    <mergeCell ref="B72:M72"/>
    <mergeCell ref="B73:M73"/>
  </mergeCells>
  <printOptions gridLine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64"/>
  <sheetViews>
    <sheetView tabSelected="1" topLeftCell="B49" zoomScale="90" zoomScaleNormal="90" workbookViewId="0">
      <selection activeCell="I65" sqref="I65"/>
    </sheetView>
  </sheetViews>
  <sheetFormatPr defaultRowHeight="20.100000000000001" customHeight="1"/>
  <cols>
    <col min="1" max="1" width="52.28515625" style="6" customWidth="1"/>
    <col min="2" max="2" width="23.7109375" style="6" customWidth="1"/>
    <col min="3" max="3" width="20" style="6" customWidth="1"/>
    <col min="4" max="4" width="12.7109375" style="6" bestFit="1" customWidth="1"/>
    <col min="5" max="5" width="18.42578125" style="6" bestFit="1" customWidth="1"/>
    <col min="6" max="6" width="9.42578125" style="6" customWidth="1"/>
    <col min="7" max="7" width="12.85546875" style="6" bestFit="1" customWidth="1"/>
    <col min="8" max="8" width="12.7109375" style="6" customWidth="1"/>
    <col min="9" max="10" width="13.85546875" style="6" customWidth="1"/>
    <col min="11" max="11" width="12.85546875" style="6" customWidth="1"/>
    <col min="12" max="12" width="12.5703125" style="6" bestFit="1" customWidth="1"/>
    <col min="13" max="13" width="22.85546875" style="6" customWidth="1"/>
    <col min="14" max="16384" width="9.140625" style="6"/>
  </cols>
  <sheetData>
    <row r="1" spans="1:14" s="2" customFormat="1" ht="30.75" customHeight="1">
      <c r="A1" s="200" t="s">
        <v>0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1"/>
    </row>
    <row r="2" spans="1:14" s="2" customFormat="1" ht="26.25" customHeight="1">
      <c r="A2" s="3" t="s">
        <v>1</v>
      </c>
      <c r="B2" s="201" t="s">
        <v>2</v>
      </c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1"/>
    </row>
    <row r="3" spans="1:14" s="2" customFormat="1" ht="26.25" customHeight="1">
      <c r="A3" s="3" t="s">
        <v>3</v>
      </c>
      <c r="B3" s="193" t="s">
        <v>4</v>
      </c>
      <c r="C3" s="193"/>
      <c r="D3" s="193"/>
      <c r="E3" s="193"/>
      <c r="F3" s="193"/>
      <c r="G3" s="193"/>
      <c r="H3" s="193"/>
      <c r="I3" s="193"/>
      <c r="J3" s="202" t="s">
        <v>5</v>
      </c>
      <c r="K3" s="203"/>
      <c r="L3" s="204" t="s">
        <v>196</v>
      </c>
      <c r="M3" s="204"/>
      <c r="N3" s="1"/>
    </row>
    <row r="4" spans="1:14" s="2" customFormat="1" ht="23.25" customHeight="1">
      <c r="A4" s="3" t="s">
        <v>6</v>
      </c>
      <c r="B4" s="193" t="s">
        <v>7</v>
      </c>
      <c r="C4" s="193"/>
      <c r="D4" s="193"/>
      <c r="E4" s="193"/>
      <c r="F4" s="193"/>
      <c r="G4" s="193"/>
      <c r="H4" s="193"/>
      <c r="I4" s="193"/>
      <c r="J4" s="4" t="s">
        <v>8</v>
      </c>
      <c r="K4" s="4"/>
      <c r="L4" s="199" t="s">
        <v>9</v>
      </c>
      <c r="M4" s="199"/>
      <c r="N4" s="1"/>
    </row>
    <row r="5" spans="1:14" ht="20.100000000000001" customHeight="1">
      <c r="A5" s="205"/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5">
        <v>43617</v>
      </c>
    </row>
    <row r="6" spans="1:14" ht="51.75" customHeight="1">
      <c r="A6" s="7" t="s">
        <v>10</v>
      </c>
      <c r="B6" s="7" t="s">
        <v>11</v>
      </c>
      <c r="C6" s="7" t="s">
        <v>12</v>
      </c>
      <c r="D6" s="8" t="s">
        <v>13</v>
      </c>
      <c r="E6" s="8" t="s">
        <v>14</v>
      </c>
      <c r="F6" s="8" t="s">
        <v>15</v>
      </c>
      <c r="G6" s="8" t="s">
        <v>16</v>
      </c>
      <c r="H6" s="8" t="s">
        <v>194</v>
      </c>
      <c r="I6" s="8" t="s">
        <v>195</v>
      </c>
      <c r="J6" s="7" t="s">
        <v>17</v>
      </c>
      <c r="K6" s="8" t="s">
        <v>18</v>
      </c>
      <c r="L6" s="7" t="s">
        <v>19</v>
      </c>
      <c r="M6" s="7" t="s">
        <v>20</v>
      </c>
    </row>
    <row r="7" spans="1:14" ht="21.95" customHeight="1">
      <c r="A7" s="9" t="s">
        <v>21</v>
      </c>
      <c r="B7" s="9" t="s">
        <v>21</v>
      </c>
      <c r="C7" s="9" t="s">
        <v>21</v>
      </c>
      <c r="D7" s="7" t="s">
        <v>22</v>
      </c>
      <c r="E7" s="7" t="s">
        <v>23</v>
      </c>
      <c r="F7" s="10" t="s">
        <v>24</v>
      </c>
      <c r="G7" s="7" t="s">
        <v>25</v>
      </c>
      <c r="H7" s="10" t="s">
        <v>26</v>
      </c>
      <c r="I7" s="10" t="s">
        <v>27</v>
      </c>
      <c r="J7" s="10" t="s">
        <v>28</v>
      </c>
      <c r="K7" s="10" t="s">
        <v>29</v>
      </c>
      <c r="L7" s="10" t="s">
        <v>30</v>
      </c>
      <c r="M7" s="11"/>
    </row>
    <row r="8" spans="1:14" ht="21.95" customHeight="1">
      <c r="A8" s="12" t="s">
        <v>31</v>
      </c>
      <c r="B8" s="13" t="s">
        <v>32</v>
      </c>
      <c r="C8" s="13" t="s">
        <v>33</v>
      </c>
      <c r="D8" s="206">
        <v>104</v>
      </c>
      <c r="E8" s="14">
        <v>63</v>
      </c>
      <c r="F8" s="14">
        <f>63+K8</f>
        <v>63</v>
      </c>
      <c r="G8" s="15">
        <f t="shared" ref="G8:G42" si="0">E8-F8</f>
        <v>0</v>
      </c>
      <c r="H8" s="14"/>
      <c r="I8" s="14"/>
      <c r="J8" s="104"/>
      <c r="K8" s="14"/>
      <c r="L8" s="14"/>
      <c r="M8" s="207" t="s">
        <v>34</v>
      </c>
    </row>
    <row r="9" spans="1:14" ht="21.95" customHeight="1">
      <c r="A9" s="16"/>
      <c r="B9" s="13"/>
      <c r="C9" s="13" t="s">
        <v>35</v>
      </c>
      <c r="D9" s="206"/>
      <c r="E9" s="14">
        <v>53</v>
      </c>
      <c r="F9" s="14">
        <f>53+K9</f>
        <v>53</v>
      </c>
      <c r="G9" s="15">
        <f t="shared" si="0"/>
        <v>0</v>
      </c>
      <c r="H9" s="14"/>
      <c r="I9" s="14"/>
      <c r="J9" s="104"/>
      <c r="K9" s="14"/>
      <c r="L9" s="14"/>
      <c r="M9" s="208"/>
    </row>
    <row r="10" spans="1:14" ht="21.95" customHeight="1">
      <c r="A10" s="16"/>
      <c r="B10" s="13"/>
      <c r="C10" s="13" t="s">
        <v>36</v>
      </c>
      <c r="D10" s="206">
        <v>1680</v>
      </c>
      <c r="E10" s="14">
        <v>436.54</v>
      </c>
      <c r="F10" s="14">
        <f>436.54+K10</f>
        <v>436.54</v>
      </c>
      <c r="G10" s="15">
        <f t="shared" si="0"/>
        <v>0</v>
      </c>
      <c r="H10" s="14"/>
      <c r="I10" s="14"/>
      <c r="J10" s="104"/>
      <c r="K10" s="14"/>
      <c r="L10" s="14"/>
      <c r="M10" s="208"/>
    </row>
    <row r="11" spans="1:14" ht="21.75" customHeight="1">
      <c r="A11" s="16"/>
      <c r="B11" s="13"/>
      <c r="C11" s="13" t="s">
        <v>37</v>
      </c>
      <c r="D11" s="206"/>
      <c r="E11" s="14">
        <v>1074.46</v>
      </c>
      <c r="F11" s="14">
        <f>1074.46+K11</f>
        <v>1074.46</v>
      </c>
      <c r="G11" s="15">
        <f t="shared" si="0"/>
        <v>0</v>
      </c>
      <c r="H11" s="14"/>
      <c r="I11" s="14"/>
      <c r="J11" s="104"/>
      <c r="K11" s="14"/>
      <c r="L11" s="14"/>
      <c r="M11" s="209"/>
    </row>
    <row r="12" spans="1:14" ht="21.95" customHeight="1">
      <c r="A12" s="12" t="s">
        <v>38</v>
      </c>
      <c r="B12" s="13" t="s">
        <v>39</v>
      </c>
      <c r="C12" s="13" t="s">
        <v>33</v>
      </c>
      <c r="D12" s="206">
        <v>72</v>
      </c>
      <c r="E12" s="14">
        <v>168</v>
      </c>
      <c r="F12" s="14">
        <f>168+K12</f>
        <v>168</v>
      </c>
      <c r="G12" s="15">
        <f t="shared" si="0"/>
        <v>0</v>
      </c>
      <c r="H12" s="14"/>
      <c r="I12" s="14"/>
      <c r="J12" s="104"/>
      <c r="K12" s="14"/>
      <c r="L12" s="14"/>
      <c r="M12" s="207" t="s">
        <v>40</v>
      </c>
    </row>
    <row r="13" spans="1:14" ht="21.95" customHeight="1">
      <c r="A13" s="16"/>
      <c r="B13" s="16"/>
      <c r="C13" s="13" t="s">
        <v>35</v>
      </c>
      <c r="D13" s="206"/>
      <c r="E13" s="14">
        <v>46</v>
      </c>
      <c r="F13" s="14">
        <f>46+K13</f>
        <v>46</v>
      </c>
      <c r="G13" s="15">
        <f t="shared" si="0"/>
        <v>0</v>
      </c>
      <c r="H13" s="14"/>
      <c r="I13" s="14"/>
      <c r="J13" s="104"/>
      <c r="K13" s="14"/>
      <c r="L13" s="14"/>
      <c r="M13" s="208"/>
    </row>
    <row r="14" spans="1:14" ht="21.95" customHeight="1">
      <c r="A14" s="16"/>
      <c r="B14" s="16"/>
      <c r="C14" s="13" t="s">
        <v>36</v>
      </c>
      <c r="D14" s="206">
        <v>1170</v>
      </c>
      <c r="E14" s="14">
        <v>420</v>
      </c>
      <c r="F14" s="14">
        <f>420+K14</f>
        <v>420</v>
      </c>
      <c r="G14" s="15">
        <f t="shared" si="0"/>
        <v>0</v>
      </c>
      <c r="H14" s="17"/>
      <c r="I14" s="14"/>
      <c r="J14" s="104"/>
      <c r="K14" s="14"/>
      <c r="L14" s="17"/>
      <c r="M14" s="208"/>
    </row>
    <row r="15" spans="1:14" ht="21.95" customHeight="1">
      <c r="A15" s="16"/>
      <c r="B15" s="16"/>
      <c r="C15" s="13" t="s">
        <v>37</v>
      </c>
      <c r="D15" s="206"/>
      <c r="E15" s="14">
        <f>840+13</f>
        <v>853</v>
      </c>
      <c r="F15" s="14">
        <v>853</v>
      </c>
      <c r="G15" s="15">
        <f t="shared" si="0"/>
        <v>0</v>
      </c>
      <c r="H15" s="18"/>
      <c r="I15" s="14"/>
      <c r="J15" s="104"/>
      <c r="K15" s="14"/>
      <c r="L15" s="14"/>
      <c r="M15" s="209"/>
    </row>
    <row r="16" spans="1:14" ht="21.95" customHeight="1">
      <c r="A16" s="12" t="s">
        <v>41</v>
      </c>
      <c r="B16" s="13" t="s">
        <v>42</v>
      </c>
      <c r="C16" s="13" t="s">
        <v>33</v>
      </c>
      <c r="D16" s="14"/>
      <c r="E16" s="14">
        <v>35</v>
      </c>
      <c r="F16" s="14">
        <f>35+K16</f>
        <v>35</v>
      </c>
      <c r="G16" s="15">
        <f t="shared" si="0"/>
        <v>0</v>
      </c>
      <c r="H16" s="14"/>
      <c r="I16" s="14"/>
      <c r="J16" s="104"/>
      <c r="K16" s="14"/>
      <c r="L16" s="14"/>
      <c r="M16" s="207" t="s">
        <v>43</v>
      </c>
    </row>
    <row r="17" spans="1:13" ht="21.95" customHeight="1">
      <c r="A17" s="16"/>
      <c r="B17" s="16"/>
      <c r="C17" s="13" t="s">
        <v>36</v>
      </c>
      <c r="D17" s="206"/>
      <c r="E17" s="14">
        <v>67</v>
      </c>
      <c r="F17" s="14">
        <f>67+K17</f>
        <v>67</v>
      </c>
      <c r="G17" s="15">
        <f t="shared" si="0"/>
        <v>0</v>
      </c>
      <c r="H17" s="14"/>
      <c r="I17" s="14"/>
      <c r="J17" s="17"/>
      <c r="K17" s="14"/>
      <c r="L17" s="14"/>
      <c r="M17" s="208"/>
    </row>
    <row r="18" spans="1:13" ht="21.95" customHeight="1">
      <c r="A18" s="16"/>
      <c r="B18" s="16"/>
      <c r="C18" s="13" t="s">
        <v>37</v>
      </c>
      <c r="D18" s="206"/>
      <c r="E18" s="14">
        <v>60</v>
      </c>
      <c r="F18" s="14">
        <f>60+K18</f>
        <v>60</v>
      </c>
      <c r="G18" s="15">
        <f t="shared" si="0"/>
        <v>0</v>
      </c>
      <c r="H18" s="14"/>
      <c r="I18" s="14"/>
      <c r="J18" s="104"/>
      <c r="K18" s="14"/>
      <c r="L18" s="14"/>
      <c r="M18" s="209"/>
    </row>
    <row r="19" spans="1:13" ht="21.95" customHeight="1">
      <c r="A19" s="12" t="s">
        <v>44</v>
      </c>
      <c r="B19" s="16" t="s">
        <v>45</v>
      </c>
      <c r="C19" s="13" t="s">
        <v>33</v>
      </c>
      <c r="D19" s="14">
        <v>3.1</v>
      </c>
      <c r="E19" s="14">
        <v>11</v>
      </c>
      <c r="F19" s="14">
        <f>11+K19</f>
        <v>11</v>
      </c>
      <c r="G19" s="15">
        <f t="shared" si="0"/>
        <v>0</v>
      </c>
      <c r="H19" s="14"/>
      <c r="I19" s="14"/>
      <c r="J19" s="104"/>
      <c r="K19" s="14"/>
      <c r="L19" s="14"/>
      <c r="M19" s="207" t="s">
        <v>46</v>
      </c>
    </row>
    <row r="20" spans="1:13" ht="21.95" customHeight="1">
      <c r="A20" s="16"/>
      <c r="B20" s="16"/>
      <c r="C20" s="13" t="s">
        <v>36</v>
      </c>
      <c r="D20" s="206">
        <v>41</v>
      </c>
      <c r="E20" s="14">
        <v>37</v>
      </c>
      <c r="F20" s="14">
        <f>37+K20</f>
        <v>37</v>
      </c>
      <c r="G20" s="15">
        <f t="shared" si="0"/>
        <v>0</v>
      </c>
      <c r="H20" s="14"/>
      <c r="I20" s="14"/>
      <c r="J20" s="17"/>
      <c r="K20" s="14"/>
      <c r="L20" s="14"/>
      <c r="M20" s="208"/>
    </row>
    <row r="21" spans="1:13" ht="21.95" customHeight="1">
      <c r="A21" s="16"/>
      <c r="B21" s="16"/>
      <c r="C21" s="13" t="s">
        <v>37</v>
      </c>
      <c r="D21" s="206"/>
      <c r="E21" s="14">
        <v>4</v>
      </c>
      <c r="F21" s="14">
        <f>4+K21</f>
        <v>4</v>
      </c>
      <c r="G21" s="15">
        <f t="shared" si="0"/>
        <v>0</v>
      </c>
      <c r="H21" s="14"/>
      <c r="I21" s="14"/>
      <c r="J21" s="17"/>
      <c r="K21" s="14"/>
      <c r="L21" s="14"/>
      <c r="M21" s="209"/>
    </row>
    <row r="22" spans="1:13" ht="21.95" customHeight="1">
      <c r="A22" s="12" t="s">
        <v>47</v>
      </c>
      <c r="B22" s="16" t="s">
        <v>48</v>
      </c>
      <c r="C22" s="13" t="s">
        <v>33</v>
      </c>
      <c r="D22" s="14">
        <v>4.25</v>
      </c>
      <c r="E22" s="14">
        <v>26</v>
      </c>
      <c r="F22" s="14">
        <f>26+K22</f>
        <v>26</v>
      </c>
      <c r="G22" s="15">
        <f t="shared" si="0"/>
        <v>0</v>
      </c>
      <c r="H22" s="14"/>
      <c r="I22" s="14"/>
      <c r="J22" s="104"/>
      <c r="K22" s="14"/>
      <c r="L22" s="14"/>
      <c r="M22" s="207" t="s">
        <v>49</v>
      </c>
    </row>
    <row r="23" spans="1:13" ht="21.95" customHeight="1">
      <c r="A23" s="16"/>
      <c r="B23" s="16"/>
      <c r="C23" s="13" t="s">
        <v>36</v>
      </c>
      <c r="D23" s="206">
        <v>51.7</v>
      </c>
      <c r="E23" s="14">
        <v>41</v>
      </c>
      <c r="F23" s="14">
        <f>41+K23</f>
        <v>41</v>
      </c>
      <c r="G23" s="15">
        <f t="shared" si="0"/>
        <v>0</v>
      </c>
      <c r="H23" s="14"/>
      <c r="I23" s="14"/>
      <c r="J23" s="17"/>
      <c r="K23" s="14"/>
      <c r="L23" s="14"/>
      <c r="M23" s="208"/>
    </row>
    <row r="24" spans="1:13" ht="21.95" customHeight="1">
      <c r="A24" s="16"/>
      <c r="B24" s="16"/>
      <c r="C24" s="13" t="s">
        <v>37</v>
      </c>
      <c r="D24" s="206"/>
      <c r="E24" s="14">
        <v>12</v>
      </c>
      <c r="F24" s="14">
        <v>12</v>
      </c>
      <c r="G24" s="15">
        <f t="shared" si="0"/>
        <v>0</v>
      </c>
      <c r="H24" s="14"/>
      <c r="I24" s="14"/>
      <c r="J24" s="104"/>
      <c r="K24" s="14"/>
      <c r="L24" s="14"/>
      <c r="M24" s="209"/>
    </row>
    <row r="25" spans="1:13" ht="21.95" customHeight="1">
      <c r="A25" s="12" t="s">
        <v>50</v>
      </c>
      <c r="B25" s="16" t="s">
        <v>51</v>
      </c>
      <c r="C25" s="13" t="s">
        <v>33</v>
      </c>
      <c r="D25" s="14">
        <v>7</v>
      </c>
      <c r="E25" s="14">
        <v>9</v>
      </c>
      <c r="F25" s="14">
        <f>9+K25</f>
        <v>9</v>
      </c>
      <c r="G25" s="15">
        <f t="shared" si="0"/>
        <v>0</v>
      </c>
      <c r="H25" s="14"/>
      <c r="I25" s="14"/>
      <c r="J25" s="104"/>
      <c r="K25" s="14"/>
      <c r="L25" s="14"/>
      <c r="M25" s="207" t="s">
        <v>52</v>
      </c>
    </row>
    <row r="26" spans="1:13" ht="21.95" customHeight="1">
      <c r="A26" s="16"/>
      <c r="B26" s="16"/>
      <c r="C26" s="13" t="s">
        <v>36</v>
      </c>
      <c r="D26" s="206"/>
      <c r="E26" s="14">
        <v>35</v>
      </c>
      <c r="F26" s="14">
        <v>35</v>
      </c>
      <c r="G26" s="15">
        <f t="shared" si="0"/>
        <v>0</v>
      </c>
      <c r="H26" s="14"/>
      <c r="I26" s="14"/>
      <c r="J26" s="17"/>
      <c r="K26" s="14"/>
      <c r="L26" s="14"/>
      <c r="M26" s="208"/>
    </row>
    <row r="27" spans="1:13" ht="21.95" customHeight="1">
      <c r="A27" s="16"/>
      <c r="B27" s="16"/>
      <c r="C27" s="13" t="s">
        <v>37</v>
      </c>
      <c r="D27" s="206"/>
      <c r="E27" s="14">
        <v>56</v>
      </c>
      <c r="F27" s="14">
        <f>56+K27</f>
        <v>56</v>
      </c>
      <c r="G27" s="15">
        <f t="shared" si="0"/>
        <v>0</v>
      </c>
      <c r="H27" s="14"/>
      <c r="I27" s="101"/>
      <c r="J27" s="17"/>
      <c r="K27" s="14"/>
      <c r="L27" s="14"/>
      <c r="M27" s="209"/>
    </row>
    <row r="28" spans="1:13" ht="30.75" customHeight="1">
      <c r="A28" s="12" t="s">
        <v>38</v>
      </c>
      <c r="B28" s="21" t="s">
        <v>53</v>
      </c>
      <c r="C28" s="13" t="s">
        <v>33</v>
      </c>
      <c r="D28" s="101"/>
      <c r="E28" s="101">
        <v>6</v>
      </c>
      <c r="F28" s="101">
        <v>6</v>
      </c>
      <c r="G28" s="15">
        <f t="shared" si="0"/>
        <v>0</v>
      </c>
      <c r="H28" s="101"/>
      <c r="I28" s="101"/>
      <c r="J28" s="104"/>
      <c r="K28" s="101"/>
      <c r="L28" s="101"/>
      <c r="M28" s="207" t="s">
        <v>172</v>
      </c>
    </row>
    <row r="29" spans="1:13" ht="21.95" customHeight="1">
      <c r="A29" s="16"/>
      <c r="B29" s="16"/>
      <c r="C29" s="13" t="s">
        <v>36</v>
      </c>
      <c r="D29" s="206"/>
      <c r="E29" s="101">
        <v>11</v>
      </c>
      <c r="F29" s="101">
        <v>11</v>
      </c>
      <c r="G29" s="15">
        <f t="shared" si="0"/>
        <v>0</v>
      </c>
      <c r="H29" s="101"/>
      <c r="I29" s="101"/>
      <c r="J29" s="104"/>
      <c r="K29" s="101"/>
      <c r="L29" s="101"/>
      <c r="M29" s="208"/>
    </row>
    <row r="30" spans="1:13" ht="22.5" customHeight="1">
      <c r="A30" s="16"/>
      <c r="B30" s="16"/>
      <c r="C30" s="13" t="s">
        <v>37</v>
      </c>
      <c r="D30" s="206"/>
      <c r="E30" s="101">
        <v>93</v>
      </c>
      <c r="F30" s="101">
        <f>93+K30</f>
        <v>93</v>
      </c>
      <c r="G30" s="15">
        <f t="shared" si="0"/>
        <v>0</v>
      </c>
      <c r="H30" s="101"/>
      <c r="I30" s="101"/>
      <c r="J30" s="104"/>
      <c r="K30" s="101"/>
      <c r="L30" s="101"/>
      <c r="M30" s="209"/>
    </row>
    <row r="31" spans="1:13" ht="21.95" customHeight="1">
      <c r="A31" s="12" t="s">
        <v>54</v>
      </c>
      <c r="B31" s="21" t="s">
        <v>55</v>
      </c>
      <c r="C31" s="13" t="s">
        <v>33</v>
      </c>
      <c r="D31" s="14"/>
      <c r="E31" s="14">
        <v>10</v>
      </c>
      <c r="F31" s="14">
        <f>10+K31</f>
        <v>10</v>
      </c>
      <c r="G31" s="15">
        <f t="shared" si="0"/>
        <v>0</v>
      </c>
      <c r="H31" s="14"/>
      <c r="I31" s="14"/>
      <c r="J31" s="104"/>
      <c r="K31" s="14"/>
      <c r="L31" s="14"/>
      <c r="M31" s="207" t="s">
        <v>56</v>
      </c>
    </row>
    <row r="32" spans="1:13" ht="21.95" customHeight="1">
      <c r="A32" s="16"/>
      <c r="B32" s="16"/>
      <c r="C32" s="13" t="s">
        <v>36</v>
      </c>
      <c r="D32" s="206"/>
      <c r="E32" s="14">
        <v>32</v>
      </c>
      <c r="F32" s="14">
        <f>32+K32</f>
        <v>32</v>
      </c>
      <c r="G32" s="15">
        <f t="shared" si="0"/>
        <v>0</v>
      </c>
      <c r="H32" s="14"/>
      <c r="I32" s="14"/>
      <c r="J32" s="104"/>
      <c r="K32" s="14"/>
      <c r="L32" s="14"/>
      <c r="M32" s="208"/>
    </row>
    <row r="33" spans="1:13" ht="21.95" customHeight="1">
      <c r="A33" s="16"/>
      <c r="B33" s="16"/>
      <c r="C33" s="13" t="s">
        <v>37</v>
      </c>
      <c r="D33" s="206"/>
      <c r="E33" s="104">
        <v>64</v>
      </c>
      <c r="F33" s="14">
        <v>64</v>
      </c>
      <c r="G33" s="15">
        <f t="shared" si="0"/>
        <v>0</v>
      </c>
      <c r="H33" s="14"/>
      <c r="I33" s="14"/>
      <c r="J33" s="104"/>
      <c r="K33" s="14"/>
      <c r="L33" s="14"/>
      <c r="M33" s="209"/>
    </row>
    <row r="34" spans="1:13" s="22" customFormat="1" ht="21.95" customHeight="1">
      <c r="A34" s="12" t="s">
        <v>57</v>
      </c>
      <c r="B34" s="21" t="s">
        <v>58</v>
      </c>
      <c r="C34" s="13" t="s">
        <v>33</v>
      </c>
      <c r="D34" s="104"/>
      <c r="E34" s="104">
        <v>9</v>
      </c>
      <c r="F34" s="104">
        <f>9+K34</f>
        <v>9</v>
      </c>
      <c r="G34" s="15">
        <f t="shared" si="0"/>
        <v>0</v>
      </c>
      <c r="H34" s="104"/>
      <c r="I34" s="104"/>
      <c r="J34" s="104"/>
      <c r="K34" s="104"/>
      <c r="L34" s="104"/>
      <c r="M34" s="207" t="s">
        <v>179</v>
      </c>
    </row>
    <row r="35" spans="1:13" s="22" customFormat="1" ht="21.95" customHeight="1">
      <c r="A35" s="16"/>
      <c r="B35" s="16"/>
      <c r="C35" s="13" t="s">
        <v>36</v>
      </c>
      <c r="D35" s="206"/>
      <c r="E35" s="104">
        <v>18</v>
      </c>
      <c r="F35" s="104">
        <v>18</v>
      </c>
      <c r="G35" s="15">
        <f t="shared" si="0"/>
        <v>0</v>
      </c>
      <c r="H35" s="104"/>
      <c r="I35" s="104"/>
      <c r="J35" s="104"/>
      <c r="K35" s="104"/>
      <c r="L35" s="104"/>
      <c r="M35" s="208"/>
    </row>
    <row r="36" spans="1:13" s="22" customFormat="1" ht="21.95" customHeight="1">
      <c r="A36" s="16"/>
      <c r="B36" s="16"/>
      <c r="C36" s="13" t="s">
        <v>37</v>
      </c>
      <c r="D36" s="206"/>
      <c r="E36" s="104">
        <v>45</v>
      </c>
      <c r="F36" s="104">
        <f>45+K36</f>
        <v>45</v>
      </c>
      <c r="G36" s="15">
        <f t="shared" si="0"/>
        <v>0</v>
      </c>
      <c r="H36" s="104"/>
      <c r="I36" s="104"/>
      <c r="J36" s="104"/>
      <c r="K36" s="104"/>
      <c r="L36" s="104"/>
      <c r="M36" s="209"/>
    </row>
    <row r="37" spans="1:13" s="22" customFormat="1" ht="21.95" customHeight="1">
      <c r="A37" s="12" t="s">
        <v>59</v>
      </c>
      <c r="B37" s="21" t="s">
        <v>60</v>
      </c>
      <c r="C37" s="13" t="s">
        <v>33</v>
      </c>
      <c r="D37" s="104">
        <v>34.299999999999997</v>
      </c>
      <c r="E37" s="104">
        <v>41</v>
      </c>
      <c r="F37" s="104">
        <f>41+K37</f>
        <v>41</v>
      </c>
      <c r="G37" s="15">
        <f t="shared" si="0"/>
        <v>0</v>
      </c>
      <c r="H37" s="104"/>
      <c r="I37" s="104"/>
      <c r="J37" s="104"/>
      <c r="K37" s="104"/>
      <c r="L37" s="104"/>
      <c r="M37" s="207" t="s">
        <v>173</v>
      </c>
    </row>
    <row r="38" spans="1:13" s="22" customFormat="1" ht="21.75" customHeight="1">
      <c r="A38" s="16"/>
      <c r="B38" s="16"/>
      <c r="C38" s="13" t="s">
        <v>36</v>
      </c>
      <c r="D38" s="206">
        <v>124</v>
      </c>
      <c r="E38" s="104">
        <v>45</v>
      </c>
      <c r="F38" s="104">
        <f>45+K38</f>
        <v>45</v>
      </c>
      <c r="G38" s="15">
        <f t="shared" si="0"/>
        <v>0</v>
      </c>
      <c r="H38" s="104"/>
      <c r="I38" s="104"/>
      <c r="J38" s="104"/>
      <c r="K38" s="104"/>
      <c r="L38" s="104"/>
      <c r="M38" s="208"/>
    </row>
    <row r="39" spans="1:13" s="22" customFormat="1" ht="21.95" customHeight="1">
      <c r="A39" s="16"/>
      <c r="B39" s="16"/>
      <c r="C39" s="13" t="s">
        <v>37</v>
      </c>
      <c r="D39" s="206"/>
      <c r="E39" s="104">
        <v>77</v>
      </c>
      <c r="F39" s="104">
        <f>77+K39</f>
        <v>77</v>
      </c>
      <c r="G39" s="15">
        <f t="shared" si="0"/>
        <v>0</v>
      </c>
      <c r="H39" s="104"/>
      <c r="I39" s="102"/>
      <c r="J39" s="104"/>
      <c r="K39" s="104"/>
      <c r="L39" s="104"/>
      <c r="M39" s="209"/>
    </row>
    <row r="40" spans="1:13" s="22" customFormat="1" ht="30">
      <c r="A40" s="12" t="s">
        <v>61</v>
      </c>
      <c r="B40" s="21" t="s">
        <v>62</v>
      </c>
      <c r="C40" s="13" t="s">
        <v>33</v>
      </c>
      <c r="D40" s="104"/>
      <c r="E40" s="104">
        <v>4</v>
      </c>
      <c r="F40" s="104">
        <f>4+K40</f>
        <v>4</v>
      </c>
      <c r="G40" s="15">
        <f t="shared" si="0"/>
        <v>0</v>
      </c>
      <c r="H40" s="104"/>
      <c r="I40" s="104"/>
      <c r="J40" s="104"/>
      <c r="K40" s="104"/>
      <c r="L40" s="104"/>
      <c r="M40" s="214" t="s">
        <v>63</v>
      </c>
    </row>
    <row r="41" spans="1:13" s="22" customFormat="1" ht="21.95" customHeight="1">
      <c r="A41" s="16"/>
      <c r="B41" s="16"/>
      <c r="C41" s="13" t="s">
        <v>36</v>
      </c>
      <c r="D41" s="17"/>
      <c r="E41" s="104">
        <v>22</v>
      </c>
      <c r="F41" s="104">
        <f>22+K41</f>
        <v>22</v>
      </c>
      <c r="G41" s="15">
        <f t="shared" si="0"/>
        <v>0</v>
      </c>
      <c r="H41" s="104"/>
      <c r="I41" s="104"/>
      <c r="J41" s="104"/>
      <c r="K41" s="104"/>
      <c r="L41" s="104"/>
      <c r="M41" s="215"/>
    </row>
    <row r="42" spans="1:13" s="22" customFormat="1" ht="30">
      <c r="A42" s="12" t="s">
        <v>64</v>
      </c>
      <c r="B42" s="21" t="s">
        <v>65</v>
      </c>
      <c r="C42" s="13" t="s">
        <v>33</v>
      </c>
      <c r="D42" s="101"/>
      <c r="E42" s="101">
        <v>11</v>
      </c>
      <c r="F42" s="101">
        <f>11+K42</f>
        <v>11</v>
      </c>
      <c r="G42" s="15">
        <f t="shared" si="0"/>
        <v>0</v>
      </c>
      <c r="H42" s="101"/>
      <c r="I42" s="101"/>
      <c r="J42" s="104"/>
      <c r="K42" s="101"/>
      <c r="L42" s="101"/>
      <c r="M42" s="212" t="s">
        <v>173</v>
      </c>
    </row>
    <row r="43" spans="1:13" s="22" customFormat="1" ht="21.95" customHeight="1">
      <c r="A43" s="16"/>
      <c r="B43" s="16"/>
      <c r="C43" s="13" t="s">
        <v>36</v>
      </c>
      <c r="D43" s="17"/>
      <c r="E43" s="101">
        <v>105</v>
      </c>
      <c r="F43" s="101">
        <f>105+K43</f>
        <v>105</v>
      </c>
      <c r="G43" s="15">
        <f>E43-F43</f>
        <v>0</v>
      </c>
      <c r="H43" s="101"/>
      <c r="I43" s="101"/>
      <c r="J43" s="104"/>
      <c r="K43" s="101"/>
      <c r="L43" s="101"/>
      <c r="M43" s="213"/>
    </row>
    <row r="44" spans="1:13" s="22" customFormat="1" ht="21.95" customHeight="1">
      <c r="A44" s="107" t="s">
        <v>184</v>
      </c>
      <c r="B44" s="23" t="s">
        <v>66</v>
      </c>
      <c r="C44" s="19" t="s">
        <v>33</v>
      </c>
      <c r="D44" s="24"/>
      <c r="E44" s="20">
        <v>5</v>
      </c>
      <c r="F44" s="20">
        <f>0+K44</f>
        <v>0</v>
      </c>
      <c r="G44" s="20">
        <f>E44-F44</f>
        <v>5</v>
      </c>
      <c r="H44" s="20">
        <v>5</v>
      </c>
      <c r="I44" s="20"/>
      <c r="J44" s="105">
        <v>5</v>
      </c>
      <c r="K44" s="20"/>
      <c r="L44" s="20"/>
      <c r="M44" s="23"/>
    </row>
    <row r="45" spans="1:13" s="22" customFormat="1" ht="21.95" customHeight="1">
      <c r="A45" s="23"/>
      <c r="B45" s="23"/>
      <c r="C45" s="19" t="s">
        <v>36</v>
      </c>
      <c r="D45" s="24"/>
      <c r="E45" s="20">
        <v>13.5</v>
      </c>
      <c r="F45" s="20">
        <f t="shared" ref="F45:F49" si="1">0+K45</f>
        <v>0</v>
      </c>
      <c r="G45" s="20">
        <f t="shared" ref="G45:G51" si="2">E45-F45</f>
        <v>13.5</v>
      </c>
      <c r="H45" s="20">
        <v>9.5</v>
      </c>
      <c r="I45" s="20"/>
      <c r="J45" s="105">
        <f>9.5+4</f>
        <v>13.5</v>
      </c>
      <c r="K45" s="20"/>
      <c r="L45" s="20"/>
      <c r="M45" s="23"/>
    </row>
    <row r="46" spans="1:13" s="22" customFormat="1" ht="21.95" customHeight="1">
      <c r="A46" s="107" t="s">
        <v>185</v>
      </c>
      <c r="B46" s="23" t="s">
        <v>67</v>
      </c>
      <c r="C46" s="19" t="s">
        <v>33</v>
      </c>
      <c r="D46" s="24"/>
      <c r="E46" s="20">
        <v>2</v>
      </c>
      <c r="F46" s="20">
        <f t="shared" si="1"/>
        <v>0</v>
      </c>
      <c r="G46" s="20">
        <f t="shared" si="2"/>
        <v>2</v>
      </c>
      <c r="H46" s="20"/>
      <c r="I46" s="20"/>
      <c r="J46" s="105">
        <f>2</f>
        <v>2</v>
      </c>
      <c r="K46" s="20"/>
      <c r="L46" s="20"/>
      <c r="M46" s="23"/>
    </row>
    <row r="47" spans="1:13" s="22" customFormat="1" ht="21.95" customHeight="1">
      <c r="A47" s="23"/>
      <c r="B47" s="23"/>
      <c r="C47" s="19" t="s">
        <v>36</v>
      </c>
      <c r="D47" s="24"/>
      <c r="E47" s="20">
        <v>12</v>
      </c>
      <c r="F47" s="20">
        <f t="shared" si="1"/>
        <v>0</v>
      </c>
      <c r="G47" s="20">
        <f t="shared" si="2"/>
        <v>12</v>
      </c>
      <c r="H47" s="20"/>
      <c r="I47" s="20"/>
      <c r="J47" s="105">
        <f>12</f>
        <v>12</v>
      </c>
      <c r="K47" s="20"/>
      <c r="L47" s="20"/>
      <c r="M47" s="23"/>
    </row>
    <row r="48" spans="1:13" s="22" customFormat="1" ht="21.95" customHeight="1">
      <c r="A48" s="23" t="s">
        <v>186</v>
      </c>
      <c r="B48" s="23" t="s">
        <v>68</v>
      </c>
      <c r="C48" s="19" t="s">
        <v>33</v>
      </c>
      <c r="D48" s="24"/>
      <c r="E48" s="20">
        <v>15</v>
      </c>
      <c r="F48" s="20">
        <f t="shared" si="1"/>
        <v>0</v>
      </c>
      <c r="G48" s="20">
        <f t="shared" si="2"/>
        <v>15</v>
      </c>
      <c r="H48" s="20"/>
      <c r="I48" s="20"/>
      <c r="J48" s="105">
        <v>15</v>
      </c>
      <c r="K48" s="20"/>
      <c r="L48" s="20"/>
      <c r="M48" s="23"/>
    </row>
    <row r="49" spans="1:13" s="22" customFormat="1" ht="21.95" customHeight="1">
      <c r="A49" s="23"/>
      <c r="B49" s="23"/>
      <c r="C49" s="19" t="s">
        <v>36</v>
      </c>
      <c r="D49" s="24"/>
      <c r="E49" s="20">
        <v>12</v>
      </c>
      <c r="F49" s="20">
        <f t="shared" si="1"/>
        <v>0</v>
      </c>
      <c r="G49" s="20">
        <f t="shared" si="2"/>
        <v>12</v>
      </c>
      <c r="H49" s="20"/>
      <c r="I49" s="20"/>
      <c r="J49" s="105">
        <v>12</v>
      </c>
      <c r="K49" s="20"/>
      <c r="L49" s="20"/>
      <c r="M49" s="23"/>
    </row>
    <row r="50" spans="1:13" s="22" customFormat="1" ht="21.95" customHeight="1">
      <c r="A50" s="107" t="s">
        <v>187</v>
      </c>
      <c r="B50" s="16" t="s">
        <v>69</v>
      </c>
      <c r="C50" s="13" t="s">
        <v>33</v>
      </c>
      <c r="D50" s="17"/>
      <c r="E50" s="108">
        <v>1</v>
      </c>
      <c r="F50" s="108">
        <f>0.7+K50</f>
        <v>0.7</v>
      </c>
      <c r="G50" s="15">
        <f t="shared" si="2"/>
        <v>0.30000000000000004</v>
      </c>
      <c r="H50" s="108"/>
      <c r="I50" s="108"/>
      <c r="J50" s="108"/>
      <c r="K50" s="108"/>
      <c r="L50" s="108"/>
      <c r="M50" s="212" t="s">
        <v>190</v>
      </c>
    </row>
    <row r="51" spans="1:13" s="22" customFormat="1" ht="21.95" customHeight="1">
      <c r="A51" s="23"/>
      <c r="B51" s="16"/>
      <c r="C51" s="13" t="s">
        <v>36</v>
      </c>
      <c r="D51" s="17"/>
      <c r="E51" s="108">
        <v>1.5</v>
      </c>
      <c r="F51" s="108">
        <f>0.78+K51</f>
        <v>0.78</v>
      </c>
      <c r="G51" s="15">
        <f t="shared" si="2"/>
        <v>0.72</v>
      </c>
      <c r="H51" s="108"/>
      <c r="I51" s="108"/>
      <c r="J51" s="108"/>
      <c r="K51" s="108"/>
      <c r="L51" s="109"/>
      <c r="M51" s="213"/>
    </row>
    <row r="52" spans="1:13" s="22" customFormat="1" ht="21.95" customHeight="1">
      <c r="A52" s="23" t="s">
        <v>175</v>
      </c>
      <c r="B52" s="23" t="s">
        <v>176</v>
      </c>
      <c r="C52" s="19" t="s">
        <v>33</v>
      </c>
      <c r="D52" s="24"/>
      <c r="E52" s="103">
        <v>4.7</v>
      </c>
      <c r="F52" s="103">
        <f>4.7+K52</f>
        <v>4.7</v>
      </c>
      <c r="G52" s="106">
        <f t="shared" ref="G52" si="3">E52-F52</f>
        <v>0</v>
      </c>
      <c r="H52" s="103"/>
      <c r="I52" s="103"/>
      <c r="J52" s="105"/>
      <c r="K52" s="103"/>
      <c r="L52" s="103"/>
      <c r="M52" s="23"/>
    </row>
    <row r="53" spans="1:13" s="22" customFormat="1" ht="21.95" customHeight="1">
      <c r="A53" s="23"/>
      <c r="B53" s="23"/>
      <c r="C53" s="19" t="s">
        <v>36</v>
      </c>
      <c r="D53" s="24"/>
      <c r="E53" s="103">
        <v>15</v>
      </c>
      <c r="F53" s="103">
        <f>14.83+K53</f>
        <v>14.83</v>
      </c>
      <c r="G53" s="103">
        <f>E53-F53</f>
        <v>0.16999999999999993</v>
      </c>
      <c r="H53" s="103"/>
      <c r="I53" s="103"/>
      <c r="J53" s="105">
        <v>0.17</v>
      </c>
      <c r="K53" s="103"/>
      <c r="L53" s="103"/>
      <c r="M53" s="23"/>
    </row>
    <row r="54" spans="1:13" s="22" customFormat="1" ht="21.95" customHeight="1">
      <c r="A54" s="23" t="s">
        <v>177</v>
      </c>
      <c r="B54" s="210" t="s">
        <v>178</v>
      </c>
      <c r="C54" s="19" t="s">
        <v>33</v>
      </c>
      <c r="D54" s="24"/>
      <c r="E54" s="103">
        <v>15</v>
      </c>
      <c r="F54" s="105">
        <v>12</v>
      </c>
      <c r="G54" s="105">
        <f t="shared" ref="G54:G55" si="4">E54-F54</f>
        <v>3</v>
      </c>
      <c r="H54" s="103"/>
      <c r="I54" s="103">
        <v>2</v>
      </c>
      <c r="J54" s="105">
        <v>3</v>
      </c>
      <c r="K54" s="103">
        <v>2</v>
      </c>
      <c r="L54" s="103">
        <v>2</v>
      </c>
      <c r="M54" s="23"/>
    </row>
    <row r="55" spans="1:13" s="22" customFormat="1" ht="21.95" customHeight="1">
      <c r="A55" s="23"/>
      <c r="B55" s="211"/>
      <c r="C55" s="19" t="s">
        <v>36</v>
      </c>
      <c r="D55" s="24"/>
      <c r="E55" s="103">
        <v>14</v>
      </c>
      <c r="F55" s="105">
        <v>10.98</v>
      </c>
      <c r="G55" s="105">
        <f t="shared" si="4"/>
        <v>3.0199999999999996</v>
      </c>
      <c r="H55" s="103"/>
      <c r="I55" s="103">
        <v>2</v>
      </c>
      <c r="J55" s="105">
        <v>3.02</v>
      </c>
      <c r="K55" s="103">
        <v>2</v>
      </c>
      <c r="L55" s="103">
        <v>2</v>
      </c>
      <c r="M55" s="23"/>
    </row>
    <row r="56" spans="1:13" s="22" customFormat="1" ht="21.95" customHeight="1">
      <c r="A56" s="107" t="s">
        <v>182</v>
      </c>
      <c r="B56" s="23" t="s">
        <v>180</v>
      </c>
      <c r="C56" s="19" t="s">
        <v>33</v>
      </c>
      <c r="D56" s="24"/>
      <c r="E56" s="105">
        <v>6</v>
      </c>
      <c r="F56" s="105">
        <f>0+K56</f>
        <v>0</v>
      </c>
      <c r="G56" s="105">
        <f>E56-F56</f>
        <v>6</v>
      </c>
      <c r="H56" s="105">
        <v>6</v>
      </c>
      <c r="I56" s="105"/>
      <c r="J56" s="105">
        <v>6</v>
      </c>
      <c r="K56" s="105"/>
      <c r="L56" s="105"/>
      <c r="M56" s="23"/>
    </row>
    <row r="57" spans="1:13" s="22" customFormat="1" ht="21.95" customHeight="1">
      <c r="A57" s="23"/>
      <c r="B57" s="23"/>
      <c r="C57" s="19" t="s">
        <v>36</v>
      </c>
      <c r="D57" s="24"/>
      <c r="E57" s="105">
        <v>34</v>
      </c>
      <c r="F57" s="105">
        <f t="shared" ref="F57:F59" si="5">0+K57</f>
        <v>0</v>
      </c>
      <c r="G57" s="105">
        <f t="shared" ref="G57:G59" si="6">E57-F57</f>
        <v>34</v>
      </c>
      <c r="H57" s="105">
        <v>17</v>
      </c>
      <c r="I57" s="105"/>
      <c r="J57" s="105">
        <f>17+17</f>
        <v>34</v>
      </c>
      <c r="K57" s="105"/>
      <c r="L57" s="105"/>
      <c r="M57" s="23"/>
    </row>
    <row r="58" spans="1:13" s="22" customFormat="1" ht="21.95" customHeight="1">
      <c r="A58" s="107" t="s">
        <v>183</v>
      </c>
      <c r="B58" s="23" t="s">
        <v>181</v>
      </c>
      <c r="C58" s="19" t="s">
        <v>33</v>
      </c>
      <c r="D58" s="24"/>
      <c r="E58" s="105">
        <v>3</v>
      </c>
      <c r="F58" s="105">
        <f t="shared" si="5"/>
        <v>0</v>
      </c>
      <c r="G58" s="105">
        <f t="shared" si="6"/>
        <v>3</v>
      </c>
      <c r="H58" s="105">
        <v>3</v>
      </c>
      <c r="I58" s="105"/>
      <c r="J58" s="105">
        <v>3</v>
      </c>
      <c r="K58" s="105"/>
      <c r="L58" s="105"/>
      <c r="M58" s="23"/>
    </row>
    <row r="59" spans="1:13" s="22" customFormat="1" ht="21.95" customHeight="1">
      <c r="A59" s="23"/>
      <c r="B59" s="23"/>
      <c r="C59" s="19" t="s">
        <v>36</v>
      </c>
      <c r="D59" s="24"/>
      <c r="E59" s="105">
        <v>2.5</v>
      </c>
      <c r="F59" s="105">
        <f t="shared" si="5"/>
        <v>0</v>
      </c>
      <c r="G59" s="105">
        <f t="shared" si="6"/>
        <v>2.5</v>
      </c>
      <c r="H59" s="105">
        <v>2.5</v>
      </c>
      <c r="I59" s="105"/>
      <c r="J59" s="105">
        <f>2.5</f>
        <v>2.5</v>
      </c>
      <c r="K59" s="105"/>
      <c r="L59" s="105"/>
      <c r="M59" s="23"/>
    </row>
    <row r="60" spans="1:13" s="22" customFormat="1" ht="21.95" customHeight="1">
      <c r="A60" s="107" t="s">
        <v>188</v>
      </c>
      <c r="B60" s="197" t="s">
        <v>189</v>
      </c>
      <c r="C60" s="19" t="s">
        <v>33</v>
      </c>
      <c r="D60" s="24"/>
      <c r="E60" s="105">
        <v>180</v>
      </c>
      <c r="F60" s="105">
        <f t="shared" ref="F60:F61" si="7">0+K60</f>
        <v>18</v>
      </c>
      <c r="G60" s="105">
        <f t="shared" ref="G60:G61" si="8">E60-F60</f>
        <v>162</v>
      </c>
      <c r="H60" s="105"/>
      <c r="I60" s="105">
        <v>18</v>
      </c>
      <c r="J60" s="105">
        <f>15+25+25+25</f>
        <v>90</v>
      </c>
      <c r="K60" s="105">
        <v>18</v>
      </c>
      <c r="L60" s="105"/>
      <c r="M60" s="23"/>
    </row>
    <row r="61" spans="1:13" s="22" customFormat="1" ht="21.95" customHeight="1">
      <c r="A61" s="23"/>
      <c r="B61" s="198"/>
      <c r="C61" s="19" t="s">
        <v>36</v>
      </c>
      <c r="D61" s="24"/>
      <c r="E61" s="105">
        <v>375</v>
      </c>
      <c r="F61" s="105">
        <f t="shared" si="7"/>
        <v>3</v>
      </c>
      <c r="G61" s="105">
        <f t="shared" si="8"/>
        <v>372</v>
      </c>
      <c r="H61" s="105">
        <v>50</v>
      </c>
      <c r="I61" s="105">
        <v>3</v>
      </c>
      <c r="J61" s="105">
        <f>35+50+70+60+50</f>
        <v>265</v>
      </c>
      <c r="K61" s="105">
        <v>3</v>
      </c>
      <c r="L61" s="105">
        <v>3</v>
      </c>
      <c r="M61" s="23"/>
    </row>
    <row r="62" spans="1:13" ht="21.95" customHeight="1">
      <c r="A62" s="25" t="s">
        <v>70</v>
      </c>
      <c r="B62" s="11"/>
      <c r="C62" s="11"/>
      <c r="D62" s="11"/>
      <c r="E62" s="26">
        <f>SUM(E8:E61)</f>
        <v>4811.2</v>
      </c>
      <c r="F62" s="26">
        <f t="shared" ref="F62:K62" si="9">SUM(F8:F61)</f>
        <v>4164.9899999999989</v>
      </c>
      <c r="G62" s="26">
        <f t="shared" si="9"/>
        <v>646.21</v>
      </c>
      <c r="H62" s="26">
        <f t="shared" si="9"/>
        <v>93</v>
      </c>
      <c r="I62" s="26">
        <f t="shared" si="9"/>
        <v>25</v>
      </c>
      <c r="J62" s="26">
        <f>SUM(J8:J61)</f>
        <v>466.19</v>
      </c>
      <c r="K62" s="26">
        <f t="shared" si="9"/>
        <v>25</v>
      </c>
      <c r="L62" s="26">
        <f>SUM(L8:L61)</f>
        <v>7</v>
      </c>
      <c r="M62" s="11"/>
    </row>
    <row r="63" spans="1:13" ht="20.100000000000001" customHeight="1">
      <c r="F63" s="27"/>
      <c r="H63" s="27"/>
    </row>
    <row r="64" spans="1:13" ht="20.100000000000001" customHeight="1">
      <c r="F64" s="27"/>
      <c r="G64" s="27"/>
      <c r="H64" s="27"/>
      <c r="I64" s="27"/>
      <c r="J64" s="27"/>
      <c r="K64" s="27"/>
    </row>
  </sheetData>
  <mergeCells count="35">
    <mergeCell ref="B54:B55"/>
    <mergeCell ref="M42:M43"/>
    <mergeCell ref="D38:D39"/>
    <mergeCell ref="M40:M41"/>
    <mergeCell ref="M25:M27"/>
    <mergeCell ref="D26:D27"/>
    <mergeCell ref="D29:D30"/>
    <mergeCell ref="M31:M33"/>
    <mergeCell ref="D32:D33"/>
    <mergeCell ref="D35:D36"/>
    <mergeCell ref="M28:M30"/>
    <mergeCell ref="M37:M39"/>
    <mergeCell ref="M34:M36"/>
    <mergeCell ref="M50:M51"/>
    <mergeCell ref="D17:D18"/>
    <mergeCell ref="M19:M21"/>
    <mergeCell ref="D20:D21"/>
    <mergeCell ref="M22:M24"/>
    <mergeCell ref="D23:D24"/>
    <mergeCell ref="B60:B61"/>
    <mergeCell ref="B4:I4"/>
    <mergeCell ref="L4:M4"/>
    <mergeCell ref="A1:M1"/>
    <mergeCell ref="B2:M2"/>
    <mergeCell ref="B3:I3"/>
    <mergeCell ref="J3:K3"/>
    <mergeCell ref="L3:M3"/>
    <mergeCell ref="A5:L5"/>
    <mergeCell ref="D8:D9"/>
    <mergeCell ref="M8:M11"/>
    <mergeCell ref="D10:D11"/>
    <mergeCell ref="D12:D13"/>
    <mergeCell ref="M12:M15"/>
    <mergeCell ref="D14:D15"/>
    <mergeCell ref="M16:M18"/>
  </mergeCells>
  <pageMargins left="0.7" right="0.7" top="0.75" bottom="0.75" header="0.3" footer="0.3"/>
  <pageSetup orientation="portrait" r:id="rId1"/>
  <ignoredErrors>
    <ignoredError sqref="F3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07.06.19</vt:lpstr>
      <vt:lpstr>07.06.19 DD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 J. Devani-3</dc:creator>
  <cp:lastModifiedBy>N. J. Devani-3</cp:lastModifiedBy>
  <dcterms:created xsi:type="dcterms:W3CDTF">2019-04-11T06:02:45Z</dcterms:created>
  <dcterms:modified xsi:type="dcterms:W3CDTF">2019-06-08T04:40:00Z</dcterms:modified>
</cp:coreProperties>
</file>